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Лист1 (3)" sheetId="5" r:id="rId1"/>
    <sheet name="Лист1 (2)" sheetId="4" r:id="rId2"/>
    <sheet name="Лист1" sheetId="1" r:id="rId3"/>
    <sheet name="Лист2" sheetId="2" r:id="rId4"/>
    <sheet name="Лист3" sheetId="3" r:id="rId5"/>
  </sheets>
  <calcPr calcId="124519"/>
</workbook>
</file>

<file path=xl/calcChain.xml><?xml version="1.0" encoding="utf-8"?>
<calcChain xmlns="http://schemas.openxmlformats.org/spreadsheetml/2006/main">
  <c r="I101" i="5"/>
  <c r="I100"/>
  <c r="I99" l="1"/>
  <c r="I98" l="1"/>
  <c r="I97"/>
  <c r="I96"/>
  <c r="I95" l="1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69"/>
  <c r="I70"/>
  <c r="I68"/>
  <c r="I67"/>
  <c r="I66"/>
  <c r="I65"/>
  <c r="I64"/>
  <c r="I63"/>
  <c r="I62"/>
  <c r="I61"/>
  <c r="I60"/>
  <c r="I59"/>
  <c r="I58"/>
  <c r="I57"/>
  <c r="I56"/>
  <c r="I55"/>
  <c r="I22"/>
  <c r="I54" l="1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4"/>
  <c r="I35"/>
  <c r="I33"/>
  <c r="I32"/>
  <c r="I31"/>
  <c r="I30"/>
  <c r="I28"/>
  <c r="I25"/>
  <c r="I23"/>
  <c r="I20" l="1"/>
  <c r="I17"/>
  <c r="I15"/>
  <c r="I13"/>
  <c r="I12"/>
  <c r="I10"/>
  <c r="I8"/>
  <c r="I7"/>
  <c r="I101" i="4"/>
  <c r="I102"/>
  <c r="I100"/>
  <c r="I97" l="1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69"/>
  <c r="I70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8"/>
  <c r="I25"/>
  <c r="I23"/>
  <c r="I22"/>
  <c r="I17"/>
  <c r="I20"/>
  <c r="I15"/>
  <c r="I13"/>
  <c r="I12"/>
  <c r="I10"/>
  <c r="I8"/>
  <c r="I7"/>
  <c r="I53" i="1" l="1"/>
  <c r="I52"/>
  <c r="I51"/>
  <c r="I50"/>
  <c r="I49"/>
  <c r="I48"/>
  <c r="I104"/>
  <c r="I59"/>
  <c r="I58"/>
  <c r="I57"/>
  <c r="I29"/>
  <c r="I28"/>
  <c r="I25"/>
  <c r="I23"/>
  <c r="I103"/>
  <c r="I102"/>
  <c r="I79"/>
  <c r="I78"/>
  <c r="I86"/>
  <c r="I85"/>
  <c r="I84"/>
  <c r="I62"/>
  <c r="I61"/>
  <c r="I60"/>
  <c r="I67"/>
  <c r="I66"/>
  <c r="I77"/>
  <c r="I76"/>
  <c r="I75"/>
  <c r="I74"/>
  <c r="I99"/>
  <c r="I90"/>
  <c r="I65"/>
  <c r="I64"/>
  <c r="I63"/>
  <c r="I33" l="1"/>
  <c r="I32"/>
  <c r="I31"/>
  <c r="I10"/>
  <c r="I8"/>
  <c r="I7"/>
  <c r="I56"/>
  <c r="I55"/>
  <c r="I54"/>
  <c r="I72"/>
  <c r="I71"/>
  <c r="I70"/>
  <c r="I22"/>
  <c r="I20"/>
  <c r="I17"/>
  <c r="I15"/>
  <c r="I13"/>
  <c r="I12"/>
  <c r="I83"/>
  <c r="I81"/>
  <c r="I44"/>
  <c r="I43"/>
  <c r="I42"/>
  <c r="I40"/>
  <c r="I37"/>
  <c r="I36"/>
  <c r="I35"/>
  <c r="I34"/>
  <c r="I101"/>
  <c r="I100"/>
  <c r="I47"/>
  <c r="I46"/>
  <c r="I45"/>
  <c r="I98"/>
</calcChain>
</file>

<file path=xl/sharedStrings.xml><?xml version="1.0" encoding="utf-8"?>
<sst xmlns="http://schemas.openxmlformats.org/spreadsheetml/2006/main" count="616" uniqueCount="162">
  <si>
    <t>ИНФОРМАЦИЯ</t>
  </si>
  <si>
    <t>о среднемесячной заработной плате руководителей и заместителей</t>
  </si>
  <si>
    <t>общеобразовательных учреждений Кетовского района за 2016 год.</t>
  </si>
  <si>
    <t>МКОУ</t>
  </si>
  <si>
    <t>ФИО</t>
  </si>
  <si>
    <t>Должность</t>
  </si>
  <si>
    <t>Среднемесячная заработная плата за 2016 год, руб.</t>
  </si>
  <si>
    <t>№ п/п</t>
  </si>
  <si>
    <t>МКОУ "Барабинская средняя общеобразовательная школа"</t>
  </si>
  <si>
    <t>Белова Галина Владимировна</t>
  </si>
  <si>
    <t>директор</t>
  </si>
  <si>
    <t xml:space="preserve"> Литвинова Наталья Александровна </t>
  </si>
  <si>
    <t xml:space="preserve">Заместитель директора </t>
  </si>
  <si>
    <t>МКОУ "Введенская средняя общеобразовательная школа №1 имени Огненного выпуска 1941 года "</t>
  </si>
  <si>
    <t>Петрова Елена Вальдемаровна</t>
  </si>
  <si>
    <t>Юдинцева                   Светлана Николаевна</t>
  </si>
  <si>
    <t xml:space="preserve">Рошка Елена  Александровна </t>
  </si>
  <si>
    <t xml:space="preserve">Копанева Ольга Михайловна </t>
  </si>
  <si>
    <t>Всеволодова Антонина Владимировна</t>
  </si>
  <si>
    <t xml:space="preserve">Ананченко Наталья Владимировна </t>
  </si>
  <si>
    <t>МКОУ "Введенская средняя общеобразовательная школа №2 "</t>
  </si>
  <si>
    <t>Бондарева Ольга Владимировна</t>
  </si>
  <si>
    <t>Журавлева Лариса Владимировна</t>
  </si>
  <si>
    <t>Зотова Ирина Сергеевна</t>
  </si>
  <si>
    <t>Федотова Надежда  Ивановна</t>
  </si>
  <si>
    <t>МКОУ "Иковская средняя общеобразовательная школа"</t>
  </si>
  <si>
    <t>Носкова Марина Анатольевна</t>
  </si>
  <si>
    <t>Вострецова Марина  Григорьевна</t>
  </si>
  <si>
    <t>Дмитриева Елена Викторовна</t>
  </si>
  <si>
    <t xml:space="preserve">МКОУ "Каширинская средняя общеобразовательная школа имени Белоусова Д.А." </t>
  </si>
  <si>
    <t>КУРОЧКИНА                     Татьяна Петровна</t>
  </si>
  <si>
    <t>ЛЕБЕДЕВА                        Наталья Анатольевна</t>
  </si>
  <si>
    <t>ЛОПАРЕВА                           Алеся Викторовна</t>
  </si>
  <si>
    <t>НОВГОРОДОВА                 Евгения Сергеевна</t>
  </si>
  <si>
    <t>МКОУ "Кетовская средняя общеобразовательная школа имени контр адмирала Иванова В.Ф."</t>
  </si>
  <si>
    <t>ТАРАСЕНКО Валентина Ивановна</t>
  </si>
  <si>
    <t>КОБЧЕНКО Ирина Ивановна</t>
  </si>
  <si>
    <t xml:space="preserve">ЕРОХОВА        Оксана  Петровна </t>
  </si>
  <si>
    <t>КАЗАКЕВИЧ Марина Михайловна</t>
  </si>
  <si>
    <t>ХИЛЬЧУК  Александр Геннадьевич</t>
  </si>
  <si>
    <t>ГОРДИЕВСКИХ Андрей Юрьевич</t>
  </si>
  <si>
    <t>Заместитель директора по АХР</t>
  </si>
  <si>
    <t>ЛЫСЕНКО Людмила Александровна</t>
  </si>
  <si>
    <t>МКОУ "Колташевская средняя общеобразовательная школа"</t>
  </si>
  <si>
    <t xml:space="preserve">МОРОЗОВА Людмила Леонидовна </t>
  </si>
  <si>
    <t>КУЧИНА Елена  Николаевна</t>
  </si>
  <si>
    <t>ЯВОРСКАЯ                           Юлия  Александровна</t>
  </si>
  <si>
    <t>заместитель директора</t>
  </si>
  <si>
    <t>МКОУ "Лесниковский лицей имени Героя России Тюнина А.В."</t>
  </si>
  <si>
    <t>МЕРКУРЬЕВА                Вероника  Васильевна</t>
  </si>
  <si>
    <t xml:space="preserve">БОЛЕСТА Гульжан  Жилкамановна </t>
  </si>
  <si>
    <t>МУХТАРОВА Наталья Васильевна</t>
  </si>
  <si>
    <t>МАСЛОВА Ирина  Геннадьевна</t>
  </si>
  <si>
    <t>КАМЕНЕВА Галина  Ивановна</t>
  </si>
  <si>
    <t>заместитель директора по АХР</t>
  </si>
  <si>
    <t>МКОУ "Менщиковская средняя общеобразовательная школа имени Сажаева А.В."</t>
  </si>
  <si>
    <t xml:space="preserve">ГАВРИЛОВСКАЯ Татьяна Николаевна </t>
  </si>
  <si>
    <t xml:space="preserve">ДУДИНА Наталья  Захаровна </t>
  </si>
  <si>
    <t xml:space="preserve">ИБРАЕВА Марина Владимировна </t>
  </si>
  <si>
    <t>МКОУ "Митинская  средняя общеобразовательная школа"</t>
  </si>
  <si>
    <t>ПЛЕХАНОВА                     Светлана  Александровна</t>
  </si>
  <si>
    <t xml:space="preserve">ШЕПЕЛИНА                    Светлана Сергеевна </t>
  </si>
  <si>
    <t xml:space="preserve">АНТИПИНА                           Татьяна Сергеевна </t>
  </si>
  <si>
    <t>МКОУ "Новосидоровская средняя общеобразовательная школа"</t>
  </si>
  <si>
    <t xml:space="preserve">ЗУБАРЕВА                                        Елена Александровна </t>
  </si>
  <si>
    <t xml:space="preserve">БЕЛЯЕВА                                          Нина Ивановна </t>
  </si>
  <si>
    <t xml:space="preserve">ПУЧКОВА                                         Татьяна Сергеевна </t>
  </si>
  <si>
    <t>МКОУ "Падеринская средняя общеобразовательная школа имени Героя Советского Союза Киселева А.Я."</t>
  </si>
  <si>
    <t xml:space="preserve">ЛУШНИКОВА                                 Галина Борисовна </t>
  </si>
  <si>
    <t>ЛУШНИКОВ                                    Георгий Анатольевич</t>
  </si>
  <si>
    <t>КИСЕЛЕВА                                       Евгения Сергеевна</t>
  </si>
  <si>
    <t>МКОУ "Пименовская средняя общеобразовательная школа имени Героя Советского Союза Печенкина Е.Н."</t>
  </si>
  <si>
    <t xml:space="preserve">ИВАНОВА                     Ольга Валентиновна </t>
  </si>
  <si>
    <t xml:space="preserve">РОЖДЕСТВЕНСКАЯ      Ольга  Владимировна </t>
  </si>
  <si>
    <t xml:space="preserve">СЕДИНКИНА           Марина Викторовна </t>
  </si>
  <si>
    <t>ПРОКОПЬЕВА              Елена Михайловна</t>
  </si>
  <si>
    <t>МКОУ "Садовская средняя общеобразовательная школа"</t>
  </si>
  <si>
    <t xml:space="preserve">СТЕПАНОВА                             Юлия Валерьевна </t>
  </si>
  <si>
    <t xml:space="preserve">КНЯЗЕВА                                          Мария Александровна </t>
  </si>
  <si>
    <t xml:space="preserve">ЯКОВЛЕВА                                       Дина Александровна </t>
  </si>
  <si>
    <t>РЕУТОВА                                          Алена Александровна</t>
  </si>
  <si>
    <t>МКОУ "Шмаковская средняя общеобразовательная школа"</t>
  </si>
  <si>
    <t>УДАРЦЕВА                        Любовь Михайловна</t>
  </si>
  <si>
    <t xml:space="preserve">САНИКЕВИЧ                                   Наталья Анатольевна </t>
  </si>
  <si>
    <t xml:space="preserve">СТЕННИКОВА                                 Ольга Владимировна </t>
  </si>
  <si>
    <t>ОСИПОВА                                        Елена Анатольевна</t>
  </si>
  <si>
    <t>МКОУ "Большераковская основная общеобразовательная школа"</t>
  </si>
  <si>
    <t>АЛЕКСЕЕВА                                     Лилия Юрьевна</t>
  </si>
  <si>
    <t>КОРБОЛИНА                                Наталья Николаевна</t>
  </si>
  <si>
    <t>МКОУ "Большечаусовская основная общеобразовательная школа имени Героя Советского Союза Орлова Т.Н."</t>
  </si>
  <si>
    <t>ТАЛИКИНА                                          Светлана Сергеевна</t>
  </si>
  <si>
    <t>ЗЫРЯНОВА                                      Ирина Леонидовна</t>
  </si>
  <si>
    <t>БАЙКАЛОВА                                     Олеся Николаевна</t>
  </si>
  <si>
    <t xml:space="preserve">КОШКИНА                                        Светлана Леонидовна </t>
  </si>
  <si>
    <t>МКОУ "Колесниковская основная общеобразовательная школа"</t>
  </si>
  <si>
    <t xml:space="preserve">ЛИСИХИНА                                        Ольга Николаевна </t>
  </si>
  <si>
    <t>СУПРЯДКИНА                                 Людмила Александровна</t>
  </si>
  <si>
    <t xml:space="preserve">ДРЮПИНА                                       Светлана Николаевна </t>
  </si>
  <si>
    <t>МКОУ "Марковская основная общеобразовательная школа"</t>
  </si>
  <si>
    <t xml:space="preserve">ГОЛОВИЗНИНА                             Наталья Борисовна </t>
  </si>
  <si>
    <t>ЛАНСКИХ                                         Нина Павловна</t>
  </si>
  <si>
    <t>МИНГАЛЕВА                                   Людмила Сергеевна</t>
  </si>
  <si>
    <t>МКОУ "Просветская основная общеобразовательная школа имени кавалера ордена Мужества Цепляева А.Н."</t>
  </si>
  <si>
    <t>ЯКУШЕВА                                         Светлана Анатольевна</t>
  </si>
  <si>
    <t>БОЛОГОВА                                      Ольга Вячеславовна</t>
  </si>
  <si>
    <t>ХУДЯКОВА                                       Анастасия Владимировна</t>
  </si>
  <si>
    <t>МКОУ "Светлополянская основная общеобразовательная школа"</t>
  </si>
  <si>
    <t>БОНДАРЕНКО                       Ольга Николаевна</t>
  </si>
  <si>
    <t>ХАНИНА                               Ирина Анатольевна</t>
  </si>
  <si>
    <t>ФЕДОТОВА                                 Любовь Ивановна</t>
  </si>
  <si>
    <t>МКОУ "Сычевская основная общеобразовательная школа имени заслуженного учителя РСФСР Притчиной Г.Г."</t>
  </si>
  <si>
    <t xml:space="preserve">НАУМОВА                        Татьяна Геннадьевна </t>
  </si>
  <si>
    <t>КАЗАНЦЕВА                           Наталья Юрьевна</t>
  </si>
  <si>
    <t xml:space="preserve">ЮРИНА                                 Татьяна Валерьевна </t>
  </si>
  <si>
    <t>МКОУ "Становская начальная  общеобразовательная школа"</t>
  </si>
  <si>
    <t>МЕТЛИЦКАЯ                         Елена Викторовна</t>
  </si>
  <si>
    <t>МКОУ "Кетовская вечерняя  (сменная)  общеобразовательная школа»</t>
  </si>
  <si>
    <t>Кокорева                               Ольга Ивановна</t>
  </si>
  <si>
    <t>Жумашова                                                Алтыншаш Сериковна</t>
  </si>
  <si>
    <t>Петрова Ирина Александровна</t>
  </si>
  <si>
    <t>Начальник планово-экономической службы                                                                           Л.А.Мытаркина</t>
  </si>
  <si>
    <t>МКОУ ДО "Кетовский детско-юношеский центр"</t>
  </si>
  <si>
    <t>Рыбакова Лидия Андреевна</t>
  </si>
  <si>
    <t>Гордиевских Галина Владимировна</t>
  </si>
  <si>
    <t>Постовалова Алена Юрьевна</t>
  </si>
  <si>
    <t>СОБАКИН Юрий Николаевич</t>
  </si>
  <si>
    <t>общеобразовательных учреждений Кетовского района за 2017 год.</t>
  </si>
  <si>
    <t>Парфенова Олеся Станиславовна</t>
  </si>
  <si>
    <t>Скородумов Павел Александрович</t>
  </si>
  <si>
    <t>Вихорева Екатерина Владимировна</t>
  </si>
  <si>
    <t>Среднемесячная заработная плата за 2017 год, руб.</t>
  </si>
  <si>
    <t>Медведева Юлия Анатольевна</t>
  </si>
  <si>
    <t>Казнина Татьяна Алексеевна</t>
  </si>
  <si>
    <t>Трошина Александра Юрьевна</t>
  </si>
  <si>
    <t>Хрущева Надежда Александровна</t>
  </si>
  <si>
    <t>Галактионова Марина Александровна</t>
  </si>
  <si>
    <t>Ярушникова Светлана Александровна</t>
  </si>
  <si>
    <t>АЛЕКСЕЕВА Оксана Викторовна</t>
  </si>
  <si>
    <t>Нестерова Екатерина Николаевна</t>
  </si>
  <si>
    <t>Бородина Надежда Анатольевна</t>
  </si>
  <si>
    <t>Черепанова Лилия Владимировна</t>
  </si>
  <si>
    <t>Канц Светлана Алексеевна</t>
  </si>
  <si>
    <t>МКОУ "Чесноковская начальная общеобразовательная школа"</t>
  </si>
  <si>
    <t>Шевелева Светлана Анатольевна</t>
  </si>
  <si>
    <t>Федерягина</t>
  </si>
  <si>
    <t>общеобразовательных учреждений Кетовского района за 2018 год.</t>
  </si>
  <si>
    <t>Васильева Ольга Анатольевна</t>
  </si>
  <si>
    <t>Кудрявцева Юлия Вячеславовна</t>
  </si>
  <si>
    <t>НОСКОВА                        Мария Сергеевна</t>
  </si>
  <si>
    <t>Скоробогатова Елена Леонидовна</t>
  </si>
  <si>
    <t>ЕДОМСКИХ Игорь Валерьевич</t>
  </si>
  <si>
    <t>ГУСЕВА Дарья Петровна</t>
  </si>
  <si>
    <t>ЯРУШНИКОВА Светлана Александровна</t>
  </si>
  <si>
    <t>ГРИБАНОВА Вера Викторовна</t>
  </si>
  <si>
    <t>САВИНЫХ Марина Александровна</t>
  </si>
  <si>
    <t>БАЗАРОВА Елена Александровна</t>
  </si>
  <si>
    <t>СЕДИНКИНА Наталья Викторовна</t>
  </si>
  <si>
    <t>ХАНИНА Ирина Анатольевна</t>
  </si>
  <si>
    <t>Федерягина Светлана Борисовна</t>
  </si>
  <si>
    <t>Начальник планово-экономического отдела                                                         Л.А.Мытаркина</t>
  </si>
  <si>
    <t>Среднемесячная заработная плата за 2018 год, руб.</t>
  </si>
  <si>
    <t>МАСЛОВ Николай Витальевич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</si>
</sst>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8"/>
      <name val="Arial"/>
      <family val="2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</cellStyleXfs>
  <cellXfs count="141">
    <xf numFmtId="0" fontId="0" fillId="0" borderId="0" xfId="0"/>
    <xf numFmtId="0" fontId="0" fillId="0" borderId="1" xfId="0" applyBorder="1" applyAlignment="1">
      <alignment vertical="center"/>
    </xf>
    <xf numFmtId="1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0" xfId="0" applyFill="1"/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3" fillId="3" borderId="1" xfId="3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3" borderId="13" xfId="3" applyNumberFormat="1" applyFont="1" applyFill="1" applyBorder="1" applyAlignment="1">
      <alignment horizontal="center" vertical="center" wrapText="1"/>
    </xf>
    <xf numFmtId="0" fontId="13" fillId="3" borderId="14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2" borderId="1" xfId="3" applyNumberFormat="1" applyFont="1" applyFill="1" applyBorder="1" applyAlignment="1">
      <alignment horizontal="center" vertical="center" wrapText="1"/>
    </xf>
    <xf numFmtId="0" fontId="13" fillId="3" borderId="1" xfId="29" applyNumberFormat="1" applyFont="1" applyFill="1" applyBorder="1" applyAlignment="1">
      <alignment horizontal="center" vertical="center" wrapText="1"/>
    </xf>
    <xf numFmtId="0" fontId="13" fillId="3" borderId="1" xfId="28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26" applyFont="1" applyBorder="1" applyAlignment="1">
      <alignment horizontal="center" vertical="center" wrapText="1"/>
    </xf>
    <xf numFmtId="0" fontId="12" fillId="0" borderId="1" xfId="24" applyFont="1" applyBorder="1" applyAlignment="1">
      <alignment horizontal="center" vertical="center" wrapText="1"/>
    </xf>
    <xf numFmtId="0" fontId="12" fillId="0" borderId="1" xfId="22" applyFont="1" applyBorder="1" applyAlignment="1">
      <alignment vertical="center" wrapText="1"/>
    </xf>
    <xf numFmtId="0" fontId="12" fillId="0" borderId="1" xfId="20" applyFont="1" applyBorder="1" applyAlignment="1">
      <alignment horizontal="center" vertical="center" wrapText="1"/>
    </xf>
    <xf numFmtId="0" fontId="12" fillId="0" borderId="1" xfId="18" applyFont="1" applyBorder="1" applyAlignment="1">
      <alignment horizontal="center" vertical="center" wrapText="1"/>
    </xf>
    <xf numFmtId="0" fontId="12" fillId="0" borderId="1" xfId="16" applyFont="1" applyBorder="1" applyAlignment="1">
      <alignment horizontal="center" vertical="center" wrapText="1"/>
    </xf>
    <xf numFmtId="0" fontId="12" fillId="0" borderId="1" xfId="14" applyFont="1" applyBorder="1" applyAlignment="1">
      <alignment horizontal="center" vertical="center" wrapText="1"/>
    </xf>
    <xf numFmtId="0" fontId="13" fillId="2" borderId="10" xfId="3" applyNumberFormat="1" applyFont="1" applyFill="1" applyBorder="1" applyAlignment="1">
      <alignment horizontal="center" vertical="center" wrapText="1"/>
    </xf>
    <xf numFmtId="0" fontId="13" fillId="2" borderId="4" xfId="3" applyNumberFormat="1" applyFont="1" applyFill="1" applyBorder="1" applyAlignment="1">
      <alignment horizontal="center" vertical="center" wrapText="1"/>
    </xf>
    <xf numFmtId="0" fontId="12" fillId="0" borderId="1" xfId="12" applyFont="1" applyBorder="1" applyAlignment="1">
      <alignment horizontal="center" vertical="center" wrapText="1"/>
    </xf>
    <xf numFmtId="0" fontId="12" fillId="0" borderId="1" xfId="10" applyFont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 wrapText="1"/>
    </xf>
    <xf numFmtId="0" fontId="12" fillId="3" borderId="1" xfId="3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2" fillId="0" borderId="1" xfId="6" applyFont="1" applyBorder="1" applyAlignment="1">
      <alignment horizontal="center" vertical="center" wrapText="1"/>
    </xf>
    <xf numFmtId="0" fontId="13" fillId="3" borderId="10" xfId="3" applyNumberFormat="1" applyFont="1" applyFill="1" applyBorder="1" applyAlignment="1">
      <alignment horizontal="center" vertical="center" wrapText="1"/>
    </xf>
    <xf numFmtId="0" fontId="13" fillId="3" borderId="4" xfId="3" applyNumberFormat="1" applyFont="1" applyFill="1" applyBorder="1" applyAlignment="1">
      <alignment horizontal="center" vertical="center" wrapText="1"/>
    </xf>
    <xf numFmtId="0" fontId="13" fillId="3" borderId="12" xfId="3" applyNumberFormat="1" applyFont="1" applyFill="1" applyBorder="1" applyAlignment="1">
      <alignment horizontal="center" vertical="center" wrapText="1"/>
    </xf>
    <xf numFmtId="0" fontId="13" fillId="3" borderId="8" xfId="3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10" xfId="4" applyFont="1" applyBorder="1" applyAlignment="1">
      <alignment horizontal="center" vertical="center" wrapText="1"/>
    </xf>
    <xf numFmtId="0" fontId="12" fillId="0" borderId="11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0" borderId="1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2" borderId="13" xfId="3" applyNumberFormat="1" applyFont="1" applyFill="1" applyBorder="1" applyAlignment="1">
      <alignment horizontal="center" vertical="center" wrapText="1"/>
    </xf>
    <xf numFmtId="0" fontId="13" fillId="2" borderId="14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3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3" borderId="1" xfId="2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6" fillId="3" borderId="1" xfId="3" applyNumberFormat="1" applyFont="1" applyFill="1" applyBorder="1" applyAlignment="1">
      <alignment horizontal="center" vertical="center" wrapText="1"/>
    </xf>
    <xf numFmtId="0" fontId="7" fillId="3" borderId="1" xfId="2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6" fillId="3" borderId="13" xfId="3" applyNumberFormat="1" applyFont="1" applyFill="1" applyBorder="1" applyAlignment="1">
      <alignment horizontal="center" vertical="center" wrapText="1"/>
    </xf>
    <xf numFmtId="0" fontId="6" fillId="3" borderId="14" xfId="3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5" fillId="0" borderId="1" xfId="8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5" fillId="3" borderId="1" xfId="3" applyNumberFormat="1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0" fontId="5" fillId="0" borderId="1" xfId="12" applyFont="1" applyBorder="1" applyAlignment="1">
      <alignment horizontal="center" vertical="center" wrapText="1"/>
    </xf>
    <xf numFmtId="0" fontId="5" fillId="0" borderId="1" xfId="14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1" xfId="18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</xf>
    <xf numFmtId="0" fontId="8" fillId="0" borderId="1" xfId="24" applyFont="1" applyBorder="1" applyAlignment="1">
      <alignment horizontal="center" vertical="center" wrapText="1"/>
    </xf>
    <xf numFmtId="0" fontId="5" fillId="0" borderId="1" xfId="22" applyFont="1" applyBorder="1" applyAlignment="1">
      <alignment vertical="center" wrapText="1"/>
    </xf>
    <xf numFmtId="0" fontId="5" fillId="0" borderId="1" xfId="26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1" fontId="11" fillId="2" borderId="3" xfId="0" applyNumberFormat="1" applyFont="1" applyFill="1" applyBorder="1" applyAlignment="1">
      <alignment horizontal="center"/>
    </xf>
  </cellXfs>
  <cellStyles count="30">
    <cellStyle name="Обычный" xfId="0" builtinId="0"/>
    <cellStyle name="Обычный 10" xfId="18"/>
    <cellStyle name="Обычный 11" xfId="20"/>
    <cellStyle name="Обычный 12" xfId="22"/>
    <cellStyle name="Обычный 13" xfId="24"/>
    <cellStyle name="Обычный 14" xfId="26"/>
    <cellStyle name="Обычный 2" xfId="1"/>
    <cellStyle name="Обычный 2 10" xfId="19"/>
    <cellStyle name="Обычный 2 11" xfId="21"/>
    <cellStyle name="Обычный 2 12" xfId="23"/>
    <cellStyle name="Обычный 2 13" xfId="25"/>
    <cellStyle name="Обычный 2 14" xfId="27"/>
    <cellStyle name="Обычный 2 2" xfId="2"/>
    <cellStyle name="Обычный 2 3" xfId="5"/>
    <cellStyle name="Обычный 2 4" xfId="7"/>
    <cellStyle name="Обычный 2 5" xfId="9"/>
    <cellStyle name="Обычный 2 6" xfId="11"/>
    <cellStyle name="Обычный 2 7" xfId="13"/>
    <cellStyle name="Обычный 2 8" xfId="15"/>
    <cellStyle name="Обычный 2 9" xfId="17"/>
    <cellStyle name="Обычный 3" xfId="4"/>
    <cellStyle name="Обычный 4" xfId="6"/>
    <cellStyle name="Обычный 5" xfId="8"/>
    <cellStyle name="Обычный 6" xfId="10"/>
    <cellStyle name="Обычный 7" xfId="12"/>
    <cellStyle name="Обычный 8" xfId="14"/>
    <cellStyle name="Обычный 9" xfId="16"/>
    <cellStyle name="Обычный_Б-РАКОВО" xfId="28"/>
    <cellStyle name="Обычный_Б-ЧАУСОВО" xfId="29"/>
    <cellStyle name="Обычный_по школе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tabSelected="1" topLeftCell="A95" workbookViewId="0">
      <selection activeCell="E51" sqref="E51:F51"/>
    </sheetView>
  </sheetViews>
  <sheetFormatPr defaultRowHeight="15"/>
  <cols>
    <col min="1" max="1" width="5.42578125" customWidth="1"/>
    <col min="4" max="4" width="7.42578125" customWidth="1"/>
    <col min="5" max="5" width="13" customWidth="1"/>
    <col min="6" max="6" width="13.7109375" customWidth="1"/>
    <col min="8" max="8" width="6.140625" customWidth="1"/>
    <col min="9" max="9" width="14.28515625" customWidth="1"/>
  </cols>
  <sheetData>
    <row r="2" spans="1:9" ht="18.75">
      <c r="A2" s="76" t="s">
        <v>0</v>
      </c>
      <c r="B2" s="76"/>
      <c r="C2" s="76"/>
      <c r="D2" s="76"/>
      <c r="E2" s="76"/>
      <c r="F2" s="76"/>
      <c r="G2" s="76"/>
      <c r="H2" s="76"/>
      <c r="I2" s="76"/>
    </row>
    <row r="3" spans="1:9" ht="18.75">
      <c r="A3" s="76" t="s">
        <v>1</v>
      </c>
      <c r="B3" s="76"/>
      <c r="C3" s="76"/>
      <c r="D3" s="76"/>
      <c r="E3" s="76"/>
      <c r="F3" s="76"/>
      <c r="G3" s="76"/>
      <c r="H3" s="76"/>
      <c r="I3" s="76"/>
    </row>
    <row r="4" spans="1:9" ht="18.75">
      <c r="A4" s="76" t="s">
        <v>145</v>
      </c>
      <c r="B4" s="76"/>
      <c r="C4" s="76"/>
      <c r="D4" s="76"/>
      <c r="E4" s="76"/>
      <c r="F4" s="76"/>
      <c r="G4" s="76"/>
      <c r="H4" s="76"/>
      <c r="I4" s="76"/>
    </row>
    <row r="5" spans="1:9" ht="31.5" customHeight="1">
      <c r="A5" s="18" t="s">
        <v>7</v>
      </c>
      <c r="B5" s="16" t="s">
        <v>3</v>
      </c>
      <c r="C5" s="16"/>
      <c r="D5" s="16"/>
      <c r="E5" s="16" t="s">
        <v>4</v>
      </c>
      <c r="F5" s="16"/>
      <c r="G5" s="16" t="s">
        <v>5</v>
      </c>
      <c r="H5" s="16"/>
      <c r="I5" s="18" t="s">
        <v>160</v>
      </c>
    </row>
    <row r="6" spans="1:9" ht="27" customHeight="1">
      <c r="A6" s="18"/>
      <c r="B6" s="16"/>
      <c r="C6" s="16"/>
      <c r="D6" s="16"/>
      <c r="E6" s="16"/>
      <c r="F6" s="16"/>
      <c r="G6" s="16"/>
      <c r="H6" s="16"/>
      <c r="I6" s="18"/>
    </row>
    <row r="7" spans="1:9" ht="28.5" customHeight="1">
      <c r="A7" s="26">
        <v>1</v>
      </c>
      <c r="B7" s="75" t="s">
        <v>8</v>
      </c>
      <c r="C7" s="75"/>
      <c r="D7" s="75"/>
      <c r="E7" s="18" t="s">
        <v>127</v>
      </c>
      <c r="F7" s="18"/>
      <c r="G7" s="16" t="s">
        <v>10</v>
      </c>
      <c r="H7" s="16"/>
      <c r="I7" s="8">
        <f>487703.06/12</f>
        <v>40641.921666666669</v>
      </c>
    </row>
    <row r="8" spans="1:9" ht="15" customHeight="1">
      <c r="A8" s="26"/>
      <c r="B8" s="75"/>
      <c r="C8" s="75"/>
      <c r="D8" s="75"/>
      <c r="E8" s="20" t="s">
        <v>11</v>
      </c>
      <c r="F8" s="20"/>
      <c r="G8" s="18" t="s">
        <v>12</v>
      </c>
      <c r="H8" s="18"/>
      <c r="I8" s="55">
        <f>532788.39/12</f>
        <v>44399.032500000001</v>
      </c>
    </row>
    <row r="9" spans="1:9">
      <c r="A9" s="26"/>
      <c r="B9" s="75"/>
      <c r="C9" s="75"/>
      <c r="D9" s="75"/>
      <c r="E9" s="20"/>
      <c r="F9" s="20"/>
      <c r="G9" s="18"/>
      <c r="H9" s="18"/>
      <c r="I9" s="55"/>
    </row>
    <row r="10" spans="1:9" ht="15" customHeight="1">
      <c r="A10" s="26"/>
      <c r="B10" s="75"/>
      <c r="C10" s="75"/>
      <c r="D10" s="75"/>
      <c r="E10" s="20" t="s">
        <v>15</v>
      </c>
      <c r="F10" s="20"/>
      <c r="G10" s="18" t="s">
        <v>12</v>
      </c>
      <c r="H10" s="18"/>
      <c r="I10" s="55">
        <f>359947.79/12</f>
        <v>29995.649166666666</v>
      </c>
    </row>
    <row r="11" spans="1:9">
      <c r="A11" s="26"/>
      <c r="B11" s="75"/>
      <c r="C11" s="75"/>
      <c r="D11" s="75"/>
      <c r="E11" s="20"/>
      <c r="F11" s="20"/>
      <c r="G11" s="18"/>
      <c r="H11" s="18"/>
      <c r="I11" s="55"/>
    </row>
    <row r="12" spans="1:9" ht="32.25" customHeight="1">
      <c r="A12" s="63">
        <v>2</v>
      </c>
      <c r="B12" s="66" t="s">
        <v>13</v>
      </c>
      <c r="C12" s="67"/>
      <c r="D12" s="68"/>
      <c r="E12" s="18" t="s">
        <v>128</v>
      </c>
      <c r="F12" s="18"/>
      <c r="G12" s="16" t="s">
        <v>10</v>
      </c>
      <c r="H12" s="16"/>
      <c r="I12" s="8">
        <f>621786.96/12</f>
        <v>51815.579999999994</v>
      </c>
    </row>
    <row r="13" spans="1:9" ht="15" customHeight="1">
      <c r="A13" s="64"/>
      <c r="B13" s="69"/>
      <c r="C13" s="70"/>
      <c r="D13" s="71"/>
      <c r="E13" s="20" t="s">
        <v>16</v>
      </c>
      <c r="F13" s="20"/>
      <c r="G13" s="18" t="s">
        <v>12</v>
      </c>
      <c r="H13" s="18"/>
      <c r="I13" s="55">
        <f>629551.96/12</f>
        <v>52462.66333333333</v>
      </c>
    </row>
    <row r="14" spans="1:9">
      <c r="A14" s="64"/>
      <c r="B14" s="69"/>
      <c r="C14" s="70"/>
      <c r="D14" s="71"/>
      <c r="E14" s="20"/>
      <c r="F14" s="20"/>
      <c r="G14" s="18"/>
      <c r="H14" s="18"/>
      <c r="I14" s="55"/>
    </row>
    <row r="15" spans="1:9" ht="15" customHeight="1">
      <c r="A15" s="64"/>
      <c r="B15" s="69"/>
      <c r="C15" s="70"/>
      <c r="D15" s="71"/>
      <c r="E15" s="59" t="s">
        <v>146</v>
      </c>
      <c r="F15" s="60"/>
      <c r="G15" s="18" t="s">
        <v>12</v>
      </c>
      <c r="H15" s="18"/>
      <c r="I15" s="55">
        <f>159629/4</f>
        <v>39907.25</v>
      </c>
    </row>
    <row r="16" spans="1:9">
      <c r="A16" s="64"/>
      <c r="B16" s="69"/>
      <c r="C16" s="70"/>
      <c r="D16" s="71"/>
      <c r="E16" s="61"/>
      <c r="F16" s="62"/>
      <c r="G16" s="18"/>
      <c r="H16" s="18"/>
      <c r="I16" s="55"/>
    </row>
    <row r="17" spans="1:9" ht="15" customHeight="1">
      <c r="A17" s="64"/>
      <c r="B17" s="69"/>
      <c r="C17" s="70"/>
      <c r="D17" s="71"/>
      <c r="E17" s="20" t="s">
        <v>129</v>
      </c>
      <c r="F17" s="20"/>
      <c r="G17" s="18" t="s">
        <v>12</v>
      </c>
      <c r="H17" s="18"/>
      <c r="I17" s="55">
        <f>616158.57/12</f>
        <v>51346.547499999993</v>
      </c>
    </row>
    <row r="18" spans="1:9">
      <c r="A18" s="64"/>
      <c r="B18" s="69"/>
      <c r="C18" s="70"/>
      <c r="D18" s="71"/>
      <c r="E18" s="20"/>
      <c r="F18" s="20"/>
      <c r="G18" s="18"/>
      <c r="H18" s="18"/>
      <c r="I18" s="55"/>
    </row>
    <row r="19" spans="1:9" ht="4.5" hidden="1" customHeight="1">
      <c r="A19" s="64"/>
      <c r="B19" s="69"/>
      <c r="C19" s="70"/>
      <c r="D19" s="71"/>
      <c r="E19" s="20"/>
      <c r="F19" s="20"/>
      <c r="G19" s="18"/>
      <c r="H19" s="18"/>
      <c r="I19" s="55"/>
    </row>
    <row r="20" spans="1:9" ht="15" customHeight="1">
      <c r="A20" s="64"/>
      <c r="B20" s="69"/>
      <c r="C20" s="70"/>
      <c r="D20" s="71"/>
      <c r="E20" s="20" t="s">
        <v>19</v>
      </c>
      <c r="F20" s="20"/>
      <c r="G20" s="18" t="s">
        <v>12</v>
      </c>
      <c r="H20" s="18"/>
      <c r="I20" s="55">
        <f>598763.55/12</f>
        <v>49896.962500000001</v>
      </c>
    </row>
    <row r="21" spans="1:9">
      <c r="A21" s="64"/>
      <c r="B21" s="69"/>
      <c r="C21" s="70"/>
      <c r="D21" s="71"/>
      <c r="E21" s="20"/>
      <c r="F21" s="20"/>
      <c r="G21" s="18"/>
      <c r="H21" s="18"/>
      <c r="I21" s="55"/>
    </row>
    <row r="22" spans="1:9" ht="44.25" customHeight="1">
      <c r="A22" s="65"/>
      <c r="B22" s="72"/>
      <c r="C22" s="73"/>
      <c r="D22" s="74"/>
      <c r="E22" s="77" t="s">
        <v>119</v>
      </c>
      <c r="F22" s="78"/>
      <c r="G22" s="138" t="s">
        <v>41</v>
      </c>
      <c r="H22" s="139"/>
      <c r="I22" s="140">
        <f>405803.08/12</f>
        <v>33816.923333333332</v>
      </c>
    </row>
    <row r="23" spans="1:9" ht="17.25" customHeight="1">
      <c r="A23" s="26">
        <v>3</v>
      </c>
      <c r="B23" s="58" t="s">
        <v>20</v>
      </c>
      <c r="C23" s="58"/>
      <c r="D23" s="58"/>
      <c r="E23" s="45" t="s">
        <v>21</v>
      </c>
      <c r="F23" s="45"/>
      <c r="G23" s="16" t="s">
        <v>10</v>
      </c>
      <c r="H23" s="16"/>
      <c r="I23" s="52">
        <f>594625.59/12</f>
        <v>49552.1325</v>
      </c>
    </row>
    <row r="24" spans="1:9">
      <c r="A24" s="26"/>
      <c r="B24" s="58"/>
      <c r="C24" s="58"/>
      <c r="D24" s="58"/>
      <c r="E24" s="45"/>
      <c r="F24" s="45"/>
      <c r="G24" s="16"/>
      <c r="H24" s="16"/>
      <c r="I24" s="54"/>
    </row>
    <row r="25" spans="1:9" ht="12" customHeight="1">
      <c r="A25" s="26"/>
      <c r="B25" s="58"/>
      <c r="C25" s="58"/>
      <c r="D25" s="58"/>
      <c r="E25" s="45" t="s">
        <v>22</v>
      </c>
      <c r="F25" s="45"/>
      <c r="G25" s="46" t="s">
        <v>12</v>
      </c>
      <c r="H25" s="47"/>
      <c r="I25" s="52">
        <f>515755.94/12</f>
        <v>42979.661666666667</v>
      </c>
    </row>
    <row r="26" spans="1:9">
      <c r="A26" s="26"/>
      <c r="B26" s="58"/>
      <c r="C26" s="58"/>
      <c r="D26" s="58"/>
      <c r="E26" s="45"/>
      <c r="F26" s="45"/>
      <c r="G26" s="48"/>
      <c r="H26" s="49"/>
      <c r="I26" s="53"/>
    </row>
    <row r="27" spans="1:9" ht="5.25" customHeight="1">
      <c r="A27" s="26"/>
      <c r="B27" s="58"/>
      <c r="C27" s="58"/>
      <c r="D27" s="58"/>
      <c r="E27" s="45"/>
      <c r="F27" s="45"/>
      <c r="G27" s="50"/>
      <c r="H27" s="51"/>
      <c r="I27" s="54"/>
    </row>
    <row r="28" spans="1:9" ht="15" customHeight="1">
      <c r="A28" s="26"/>
      <c r="B28" s="58"/>
      <c r="C28" s="58"/>
      <c r="D28" s="58"/>
      <c r="E28" s="45" t="s">
        <v>24</v>
      </c>
      <c r="F28" s="45"/>
      <c r="G28" s="18" t="s">
        <v>12</v>
      </c>
      <c r="H28" s="18"/>
      <c r="I28" s="52">
        <f>431912.64/12</f>
        <v>35992.720000000001</v>
      </c>
    </row>
    <row r="29" spans="1:9">
      <c r="A29" s="26"/>
      <c r="B29" s="58"/>
      <c r="C29" s="58"/>
      <c r="D29" s="58"/>
      <c r="E29" s="45"/>
      <c r="F29" s="45"/>
      <c r="G29" s="18"/>
      <c r="H29" s="18"/>
      <c r="I29" s="54"/>
    </row>
    <row r="30" spans="1:9" ht="30.75" customHeight="1">
      <c r="A30" s="26">
        <v>4</v>
      </c>
      <c r="B30" s="44" t="s">
        <v>25</v>
      </c>
      <c r="C30" s="44"/>
      <c r="D30" s="44"/>
      <c r="E30" s="29" t="s">
        <v>26</v>
      </c>
      <c r="F30" s="29"/>
      <c r="G30" s="18" t="s">
        <v>10</v>
      </c>
      <c r="H30" s="18"/>
      <c r="I30" s="8">
        <f>774620.86/12</f>
        <v>64551.738333333335</v>
      </c>
    </row>
    <row r="31" spans="1:9" ht="33.75" customHeight="1">
      <c r="A31" s="26"/>
      <c r="B31" s="44"/>
      <c r="C31" s="44"/>
      <c r="D31" s="44"/>
      <c r="E31" s="29" t="s">
        <v>27</v>
      </c>
      <c r="F31" s="29"/>
      <c r="G31" s="18" t="s">
        <v>12</v>
      </c>
      <c r="H31" s="18"/>
      <c r="I31" s="8">
        <f>667926.83/12</f>
        <v>55660.569166666661</v>
      </c>
    </row>
    <row r="32" spans="1:9" ht="33.75" customHeight="1">
      <c r="A32" s="26"/>
      <c r="B32" s="44"/>
      <c r="C32" s="44"/>
      <c r="D32" s="44"/>
      <c r="E32" s="29" t="s">
        <v>131</v>
      </c>
      <c r="F32" s="29"/>
      <c r="G32" s="18" t="s">
        <v>12</v>
      </c>
      <c r="H32" s="18"/>
      <c r="I32" s="8">
        <f>646459.13/12</f>
        <v>53871.594166666669</v>
      </c>
    </row>
    <row r="33" spans="1:9" ht="28.5" customHeight="1">
      <c r="A33" s="26">
        <v>5</v>
      </c>
      <c r="B33" s="43" t="s">
        <v>29</v>
      </c>
      <c r="C33" s="43"/>
      <c r="D33" s="43"/>
      <c r="E33" s="20" t="s">
        <v>30</v>
      </c>
      <c r="F33" s="20"/>
      <c r="G33" s="16" t="s">
        <v>10</v>
      </c>
      <c r="H33" s="16"/>
      <c r="I33" s="8">
        <f>671268.63/12</f>
        <v>55939.052499999998</v>
      </c>
    </row>
    <row r="34" spans="1:9" ht="33.75" customHeight="1">
      <c r="A34" s="26"/>
      <c r="B34" s="43"/>
      <c r="C34" s="43"/>
      <c r="D34" s="43"/>
      <c r="E34" s="24" t="s">
        <v>147</v>
      </c>
      <c r="F34" s="25"/>
      <c r="G34" s="18" t="s">
        <v>12</v>
      </c>
      <c r="H34" s="18"/>
      <c r="I34" s="8">
        <f>149532.66/4</f>
        <v>37383.165000000001</v>
      </c>
    </row>
    <row r="35" spans="1:9" ht="30.75" customHeight="1">
      <c r="A35" s="26"/>
      <c r="B35" s="43"/>
      <c r="C35" s="43"/>
      <c r="D35" s="43"/>
      <c r="E35" s="24" t="s">
        <v>32</v>
      </c>
      <c r="F35" s="25"/>
      <c r="G35" s="18" t="s">
        <v>12</v>
      </c>
      <c r="H35" s="18"/>
      <c r="I35" s="8">
        <f>464925.04/12</f>
        <v>38743.753333333334</v>
      </c>
    </row>
    <row r="36" spans="1:9" ht="35.25" customHeight="1">
      <c r="A36" s="26">
        <v>6</v>
      </c>
      <c r="B36" s="42" t="s">
        <v>34</v>
      </c>
      <c r="C36" s="42"/>
      <c r="D36" s="42"/>
      <c r="E36" s="29" t="s">
        <v>39</v>
      </c>
      <c r="F36" s="29"/>
      <c r="G36" s="16" t="s">
        <v>10</v>
      </c>
      <c r="H36" s="16"/>
      <c r="I36" s="8">
        <f>754054.54/12</f>
        <v>62837.878333333334</v>
      </c>
    </row>
    <row r="37" spans="1:9" ht="33.75" customHeight="1">
      <c r="A37" s="26"/>
      <c r="B37" s="42"/>
      <c r="C37" s="42"/>
      <c r="D37" s="42"/>
      <c r="E37" s="29" t="s">
        <v>35</v>
      </c>
      <c r="F37" s="29"/>
      <c r="G37" s="18" t="s">
        <v>12</v>
      </c>
      <c r="H37" s="18"/>
      <c r="I37" s="8">
        <f>564804.62/12</f>
        <v>47067.051666666666</v>
      </c>
    </row>
    <row r="38" spans="1:9" ht="33.75" customHeight="1">
      <c r="A38" s="26"/>
      <c r="B38" s="42"/>
      <c r="C38" s="42"/>
      <c r="D38" s="42"/>
      <c r="E38" s="20" t="s">
        <v>36</v>
      </c>
      <c r="F38" s="20"/>
      <c r="G38" s="18" t="s">
        <v>12</v>
      </c>
      <c r="H38" s="18"/>
      <c r="I38" s="8">
        <f>637142.45/12</f>
        <v>53095.204166666663</v>
      </c>
    </row>
    <row r="39" spans="1:9" ht="33.75" customHeight="1">
      <c r="A39" s="26"/>
      <c r="B39" s="42"/>
      <c r="C39" s="42"/>
      <c r="D39" s="42"/>
      <c r="E39" s="20" t="s">
        <v>37</v>
      </c>
      <c r="F39" s="20"/>
      <c r="G39" s="18" t="s">
        <v>12</v>
      </c>
      <c r="H39" s="18"/>
      <c r="I39" s="8">
        <f>585772.28/12</f>
        <v>48814.356666666667</v>
      </c>
    </row>
    <row r="40" spans="1:9" ht="33.75" customHeight="1">
      <c r="A40" s="26"/>
      <c r="B40" s="42"/>
      <c r="C40" s="42"/>
      <c r="D40" s="42"/>
      <c r="E40" s="20" t="s">
        <v>38</v>
      </c>
      <c r="F40" s="20"/>
      <c r="G40" s="18" t="s">
        <v>12</v>
      </c>
      <c r="H40" s="18"/>
      <c r="I40" s="8">
        <f>558562.37/12</f>
        <v>46546.864166666666</v>
      </c>
    </row>
    <row r="41" spans="1:9" ht="28.5" customHeight="1">
      <c r="A41" s="26"/>
      <c r="B41" s="42"/>
      <c r="C41" s="42"/>
      <c r="D41" s="42"/>
      <c r="E41" s="20" t="s">
        <v>40</v>
      </c>
      <c r="F41" s="20"/>
      <c r="G41" s="18" t="s">
        <v>12</v>
      </c>
      <c r="H41" s="18"/>
      <c r="I41" s="8">
        <f>643695.97/12</f>
        <v>53641.330833333333</v>
      </c>
    </row>
    <row r="42" spans="1:9" ht="43.5" customHeight="1">
      <c r="A42" s="26"/>
      <c r="B42" s="42"/>
      <c r="C42" s="42"/>
      <c r="D42" s="42"/>
      <c r="E42" s="15" t="s">
        <v>42</v>
      </c>
      <c r="F42" s="15"/>
      <c r="G42" s="15" t="s">
        <v>41</v>
      </c>
      <c r="H42" s="15"/>
      <c r="I42" s="10">
        <f>527521/12</f>
        <v>43960.083333333336</v>
      </c>
    </row>
    <row r="43" spans="1:9" ht="32.25" customHeight="1">
      <c r="A43" s="26">
        <v>7</v>
      </c>
      <c r="B43" s="39" t="s">
        <v>43</v>
      </c>
      <c r="C43" s="39"/>
      <c r="D43" s="39"/>
      <c r="E43" s="29" t="s">
        <v>44</v>
      </c>
      <c r="F43" s="29"/>
      <c r="G43" s="16" t="s">
        <v>10</v>
      </c>
      <c r="H43" s="16"/>
      <c r="I43" s="8">
        <f>574903.18/12</f>
        <v>47908.598333333335</v>
      </c>
    </row>
    <row r="44" spans="1:9" ht="32.25" customHeight="1">
      <c r="A44" s="26"/>
      <c r="B44" s="39"/>
      <c r="C44" s="39"/>
      <c r="D44" s="39"/>
      <c r="E44" s="29" t="s">
        <v>132</v>
      </c>
      <c r="F44" s="29"/>
      <c r="G44" s="18" t="s">
        <v>47</v>
      </c>
      <c r="H44" s="18"/>
      <c r="I44" s="8">
        <f>438381.32/12</f>
        <v>36531.776666666665</v>
      </c>
    </row>
    <row r="45" spans="1:9" ht="33" customHeight="1">
      <c r="A45" s="26"/>
      <c r="B45" s="39"/>
      <c r="C45" s="39"/>
      <c r="D45" s="39"/>
      <c r="E45" s="40" t="s">
        <v>148</v>
      </c>
      <c r="F45" s="41"/>
      <c r="G45" s="18" t="s">
        <v>47</v>
      </c>
      <c r="H45" s="18"/>
      <c r="I45" s="8">
        <f>76309.82/2</f>
        <v>38154.910000000003</v>
      </c>
    </row>
    <row r="46" spans="1:9" ht="32.25" customHeight="1">
      <c r="A46" s="26">
        <v>8</v>
      </c>
      <c r="B46" s="38" t="s">
        <v>48</v>
      </c>
      <c r="C46" s="38"/>
      <c r="D46" s="38"/>
      <c r="E46" s="20" t="s">
        <v>123</v>
      </c>
      <c r="F46" s="20"/>
      <c r="G46" s="16" t="s">
        <v>10</v>
      </c>
      <c r="H46" s="16"/>
      <c r="I46" s="8">
        <f>643900.12/12</f>
        <v>53658.343333333331</v>
      </c>
    </row>
    <row r="47" spans="1:9" ht="33.75" customHeight="1">
      <c r="A47" s="26"/>
      <c r="B47" s="38"/>
      <c r="C47" s="38"/>
      <c r="D47" s="38"/>
      <c r="E47" s="20" t="s">
        <v>49</v>
      </c>
      <c r="F47" s="20"/>
      <c r="G47" s="18" t="s">
        <v>47</v>
      </c>
      <c r="H47" s="18"/>
      <c r="I47" s="8">
        <f>540335.58/12</f>
        <v>45027.964999999997</v>
      </c>
    </row>
    <row r="48" spans="1:9" ht="33.75" customHeight="1">
      <c r="A48" s="26"/>
      <c r="B48" s="38"/>
      <c r="C48" s="38"/>
      <c r="D48" s="38"/>
      <c r="E48" s="20" t="s">
        <v>51</v>
      </c>
      <c r="F48" s="20"/>
      <c r="G48" s="18" t="s">
        <v>47</v>
      </c>
      <c r="H48" s="18"/>
      <c r="I48" s="8">
        <f>603196.82/12</f>
        <v>50266.401666666665</v>
      </c>
    </row>
    <row r="49" spans="1:10" ht="33.75" customHeight="1">
      <c r="A49" s="26"/>
      <c r="B49" s="38"/>
      <c r="C49" s="38"/>
      <c r="D49" s="38"/>
      <c r="E49" s="20" t="s">
        <v>52</v>
      </c>
      <c r="F49" s="20"/>
      <c r="G49" s="18" t="s">
        <v>47</v>
      </c>
      <c r="H49" s="18"/>
      <c r="I49" s="8">
        <f>567012.77/12</f>
        <v>47251.064166666671</v>
      </c>
    </row>
    <row r="50" spans="1:10" ht="33.75" customHeight="1">
      <c r="A50" s="26"/>
      <c r="B50" s="38"/>
      <c r="C50" s="38"/>
      <c r="D50" s="38"/>
      <c r="E50" s="20" t="s">
        <v>53</v>
      </c>
      <c r="F50" s="20"/>
      <c r="G50" s="18" t="s">
        <v>47</v>
      </c>
      <c r="H50" s="18"/>
      <c r="I50" s="8">
        <f>720794.61/12</f>
        <v>60066.217499999999</v>
      </c>
    </row>
    <row r="51" spans="1:10" ht="44.25" customHeight="1">
      <c r="A51" s="26"/>
      <c r="B51" s="38"/>
      <c r="C51" s="38"/>
      <c r="D51" s="38"/>
      <c r="E51" s="138" t="s">
        <v>161</v>
      </c>
      <c r="F51" s="139"/>
      <c r="G51" s="15" t="s">
        <v>54</v>
      </c>
      <c r="H51" s="15"/>
      <c r="I51" s="10">
        <f>477550/12</f>
        <v>39795.833333333336</v>
      </c>
    </row>
    <row r="52" spans="1:10" ht="28.5" customHeight="1">
      <c r="A52" s="26">
        <v>9</v>
      </c>
      <c r="B52" s="37" t="s">
        <v>55</v>
      </c>
      <c r="C52" s="37"/>
      <c r="D52" s="37"/>
      <c r="E52" s="20" t="s">
        <v>57</v>
      </c>
      <c r="F52" s="20"/>
      <c r="G52" s="16" t="s">
        <v>10</v>
      </c>
      <c r="H52" s="16"/>
      <c r="I52" s="8">
        <f>595233.2/12</f>
        <v>49602.766666666663</v>
      </c>
    </row>
    <row r="53" spans="1:10" ht="33" customHeight="1">
      <c r="A53" s="26"/>
      <c r="B53" s="37"/>
      <c r="C53" s="37"/>
      <c r="D53" s="37"/>
      <c r="E53" s="20" t="s">
        <v>58</v>
      </c>
      <c r="F53" s="20"/>
      <c r="G53" s="18" t="s">
        <v>47</v>
      </c>
      <c r="H53" s="18"/>
      <c r="I53" s="8">
        <f>360862.79/12</f>
        <v>30071.899166666666</v>
      </c>
    </row>
    <row r="54" spans="1:10" ht="33.75" customHeight="1">
      <c r="A54" s="26"/>
      <c r="B54" s="37"/>
      <c r="C54" s="37"/>
      <c r="D54" s="37"/>
      <c r="E54" s="20" t="s">
        <v>56</v>
      </c>
      <c r="F54" s="20"/>
      <c r="G54" s="18" t="s">
        <v>47</v>
      </c>
      <c r="H54" s="18"/>
      <c r="I54" s="8">
        <f>508031.34/12</f>
        <v>42335.945</v>
      </c>
      <c r="J54" s="6"/>
    </row>
    <row r="55" spans="1:10" ht="40.5" customHeight="1">
      <c r="A55" s="26">
        <v>10</v>
      </c>
      <c r="B55" s="36" t="s">
        <v>59</v>
      </c>
      <c r="C55" s="36"/>
      <c r="D55" s="36"/>
      <c r="E55" s="29" t="s">
        <v>60</v>
      </c>
      <c r="F55" s="29"/>
      <c r="G55" s="16" t="s">
        <v>10</v>
      </c>
      <c r="H55" s="16"/>
      <c r="I55" s="8">
        <f>529855.07/12</f>
        <v>44154.589166666665</v>
      </c>
    </row>
    <row r="56" spans="1:10" ht="33.75" customHeight="1">
      <c r="A56" s="26"/>
      <c r="B56" s="36"/>
      <c r="C56" s="36"/>
      <c r="D56" s="36"/>
      <c r="E56" s="29" t="s">
        <v>134</v>
      </c>
      <c r="F56" s="29"/>
      <c r="G56" s="18" t="s">
        <v>47</v>
      </c>
      <c r="H56" s="18"/>
      <c r="I56" s="8">
        <f>151578.35/4</f>
        <v>37894.587500000001</v>
      </c>
    </row>
    <row r="57" spans="1:10" ht="33.75" customHeight="1">
      <c r="A57" s="26"/>
      <c r="B57" s="36"/>
      <c r="C57" s="36"/>
      <c r="D57" s="36"/>
      <c r="E57" s="24" t="s">
        <v>149</v>
      </c>
      <c r="F57" s="25"/>
      <c r="G57" s="18" t="s">
        <v>47</v>
      </c>
      <c r="H57" s="18"/>
      <c r="I57" s="8">
        <f>83484.92/4</f>
        <v>20871.23</v>
      </c>
    </row>
    <row r="58" spans="1:10" ht="35.25" customHeight="1">
      <c r="A58" s="26">
        <v>11</v>
      </c>
      <c r="B58" s="35" t="s">
        <v>63</v>
      </c>
      <c r="C58" s="35"/>
      <c r="D58" s="35"/>
      <c r="E58" s="24" t="s">
        <v>64</v>
      </c>
      <c r="F58" s="25"/>
      <c r="G58" s="16" t="s">
        <v>10</v>
      </c>
      <c r="H58" s="16"/>
      <c r="I58" s="8">
        <f>621840/12</f>
        <v>51820</v>
      </c>
    </row>
    <row r="59" spans="1:10" ht="33.75" customHeight="1">
      <c r="A59" s="26"/>
      <c r="B59" s="35"/>
      <c r="C59" s="35"/>
      <c r="D59" s="35"/>
      <c r="E59" s="20" t="s">
        <v>65</v>
      </c>
      <c r="F59" s="20"/>
      <c r="G59" s="18" t="s">
        <v>47</v>
      </c>
      <c r="H59" s="18"/>
      <c r="I59" s="8">
        <f>362498.34/12</f>
        <v>30208.195000000003</v>
      </c>
    </row>
    <row r="60" spans="1:10" ht="33.75" customHeight="1">
      <c r="A60" s="26"/>
      <c r="B60" s="35"/>
      <c r="C60" s="35"/>
      <c r="D60" s="35"/>
      <c r="E60" s="20" t="s">
        <v>66</v>
      </c>
      <c r="F60" s="20"/>
      <c r="G60" s="18" t="s">
        <v>47</v>
      </c>
      <c r="H60" s="18"/>
      <c r="I60" s="8">
        <f>533043/12</f>
        <v>44420.25</v>
      </c>
    </row>
    <row r="61" spans="1:10" ht="39" customHeight="1">
      <c r="A61" s="26">
        <v>12</v>
      </c>
      <c r="B61" s="34" t="s">
        <v>67</v>
      </c>
      <c r="C61" s="34"/>
      <c r="D61" s="34"/>
      <c r="E61" s="20" t="s">
        <v>150</v>
      </c>
      <c r="F61" s="20"/>
      <c r="G61" s="16" t="s">
        <v>10</v>
      </c>
      <c r="H61" s="16"/>
      <c r="I61" s="8">
        <f>72367.2/2</f>
        <v>36183.599999999999</v>
      </c>
    </row>
    <row r="62" spans="1:10" ht="33.75" customHeight="1">
      <c r="A62" s="26"/>
      <c r="B62" s="34"/>
      <c r="C62" s="34"/>
      <c r="D62" s="34"/>
      <c r="E62" s="20" t="s">
        <v>151</v>
      </c>
      <c r="F62" s="20"/>
      <c r="G62" s="18" t="s">
        <v>47</v>
      </c>
      <c r="H62" s="18"/>
      <c r="I62" s="8">
        <f>123774.77/4</f>
        <v>30943.692500000001</v>
      </c>
    </row>
    <row r="63" spans="1:10" ht="33.75" customHeight="1">
      <c r="A63" s="26"/>
      <c r="B63" s="34"/>
      <c r="C63" s="34"/>
      <c r="D63" s="34"/>
      <c r="E63" s="20" t="s">
        <v>152</v>
      </c>
      <c r="F63" s="20"/>
      <c r="G63" s="18" t="s">
        <v>47</v>
      </c>
      <c r="H63" s="18"/>
      <c r="I63" s="8">
        <f>492718.28/12</f>
        <v>41059.856666666667</v>
      </c>
    </row>
    <row r="64" spans="1:10" ht="31.5" customHeight="1">
      <c r="A64" s="26">
        <v>13</v>
      </c>
      <c r="B64" s="33" t="s">
        <v>71</v>
      </c>
      <c r="C64" s="33"/>
      <c r="D64" s="33"/>
      <c r="E64" s="20" t="s">
        <v>72</v>
      </c>
      <c r="F64" s="20"/>
      <c r="G64" s="16" t="s">
        <v>10</v>
      </c>
      <c r="H64" s="16"/>
      <c r="I64" s="8">
        <f>621360.87/12</f>
        <v>51780.072500000002</v>
      </c>
    </row>
    <row r="65" spans="1:9" ht="33.75" customHeight="1">
      <c r="A65" s="26"/>
      <c r="B65" s="33"/>
      <c r="C65" s="33"/>
      <c r="D65" s="33"/>
      <c r="E65" s="20" t="s">
        <v>153</v>
      </c>
      <c r="F65" s="20"/>
      <c r="G65" s="18" t="s">
        <v>47</v>
      </c>
      <c r="H65" s="18"/>
      <c r="I65" s="8">
        <f>121339.94/4</f>
        <v>30334.985000000001</v>
      </c>
    </row>
    <row r="66" spans="1:9" ht="33.75" customHeight="1">
      <c r="A66" s="26"/>
      <c r="B66" s="33"/>
      <c r="C66" s="33"/>
      <c r="D66" s="33"/>
      <c r="E66" s="20" t="s">
        <v>74</v>
      </c>
      <c r="F66" s="20"/>
      <c r="G66" s="18" t="s">
        <v>47</v>
      </c>
      <c r="H66" s="18"/>
      <c r="I66" s="8">
        <f>482354.46/12</f>
        <v>40196.205000000002</v>
      </c>
    </row>
    <row r="67" spans="1:9" ht="33.75" customHeight="1">
      <c r="A67" s="26"/>
      <c r="B67" s="33"/>
      <c r="C67" s="33"/>
      <c r="D67" s="33"/>
      <c r="E67" s="20" t="s">
        <v>75</v>
      </c>
      <c r="F67" s="20"/>
      <c r="G67" s="18" t="s">
        <v>47</v>
      </c>
      <c r="H67" s="18"/>
      <c r="I67" s="8">
        <f>273514.6/12</f>
        <v>22792.883333333331</v>
      </c>
    </row>
    <row r="68" spans="1:9" ht="35.25" customHeight="1">
      <c r="A68" s="26">
        <v>14</v>
      </c>
      <c r="B68" s="17" t="s">
        <v>76</v>
      </c>
      <c r="C68" s="17"/>
      <c r="D68" s="17"/>
      <c r="E68" s="20" t="s">
        <v>77</v>
      </c>
      <c r="F68" s="20"/>
      <c r="G68" s="16" t="s">
        <v>10</v>
      </c>
      <c r="H68" s="16"/>
      <c r="I68" s="8">
        <f>812172.47/12</f>
        <v>67681.039166666669</v>
      </c>
    </row>
    <row r="69" spans="1:9" ht="33.75" customHeight="1">
      <c r="A69" s="26"/>
      <c r="B69" s="17"/>
      <c r="C69" s="17"/>
      <c r="D69" s="17"/>
      <c r="E69" s="20" t="s">
        <v>154</v>
      </c>
      <c r="F69" s="20"/>
      <c r="G69" s="18" t="s">
        <v>47</v>
      </c>
      <c r="H69" s="18"/>
      <c r="I69" s="8">
        <f>167308.22/4</f>
        <v>41827.055</v>
      </c>
    </row>
    <row r="70" spans="1:9" ht="30" customHeight="1">
      <c r="A70" s="26"/>
      <c r="B70" s="17"/>
      <c r="C70" s="17"/>
      <c r="D70" s="17"/>
      <c r="E70" s="32" t="s">
        <v>80</v>
      </c>
      <c r="F70" s="32"/>
      <c r="G70" s="18" t="s">
        <v>47</v>
      </c>
      <c r="H70" s="18"/>
      <c r="I70" s="8">
        <f>465921.73/12</f>
        <v>38826.810833333329</v>
      </c>
    </row>
    <row r="71" spans="1:9" ht="36.75" customHeight="1">
      <c r="A71" s="26">
        <v>15</v>
      </c>
      <c r="B71" s="17" t="s">
        <v>81</v>
      </c>
      <c r="C71" s="17"/>
      <c r="D71" s="17"/>
      <c r="E71" s="20" t="s">
        <v>84</v>
      </c>
      <c r="F71" s="20"/>
      <c r="G71" s="16" t="s">
        <v>10</v>
      </c>
      <c r="H71" s="16"/>
      <c r="I71" s="8">
        <f>172168.86/4</f>
        <v>43042.214999999997</v>
      </c>
    </row>
    <row r="72" spans="1:9" ht="35.25" customHeight="1">
      <c r="A72" s="26"/>
      <c r="B72" s="17"/>
      <c r="C72" s="17"/>
      <c r="D72" s="17"/>
      <c r="E72" s="20" t="s">
        <v>83</v>
      </c>
      <c r="F72" s="20"/>
      <c r="G72" s="18" t="s">
        <v>47</v>
      </c>
      <c r="H72" s="18"/>
      <c r="I72" s="8">
        <f>457392.2/12</f>
        <v>38116.01666666667</v>
      </c>
    </row>
    <row r="73" spans="1:9" ht="35.25" customHeight="1">
      <c r="A73" s="26"/>
      <c r="B73" s="17"/>
      <c r="C73" s="17"/>
      <c r="D73" s="17"/>
      <c r="E73" s="20" t="s">
        <v>155</v>
      </c>
      <c r="F73" s="20"/>
      <c r="G73" s="18" t="s">
        <v>47</v>
      </c>
      <c r="H73" s="18"/>
      <c r="I73" s="8">
        <f>159639.89/4</f>
        <v>39909.972500000003</v>
      </c>
    </row>
    <row r="74" spans="1:9" ht="33.75" customHeight="1">
      <c r="A74" s="26"/>
      <c r="B74" s="17"/>
      <c r="C74" s="17"/>
      <c r="D74" s="17"/>
      <c r="E74" s="20" t="s">
        <v>156</v>
      </c>
      <c r="F74" s="20"/>
      <c r="G74" s="18" t="s">
        <v>47</v>
      </c>
      <c r="H74" s="18"/>
      <c r="I74" s="8">
        <f>126606.3/4</f>
        <v>31651.575000000001</v>
      </c>
    </row>
    <row r="75" spans="1:9" ht="35.25" customHeight="1">
      <c r="A75" s="26">
        <v>16</v>
      </c>
      <c r="B75" s="17" t="s">
        <v>86</v>
      </c>
      <c r="C75" s="17"/>
      <c r="D75" s="17"/>
      <c r="E75" s="31" t="s">
        <v>88</v>
      </c>
      <c r="F75" s="31"/>
      <c r="G75" s="16" t="s">
        <v>10</v>
      </c>
      <c r="H75" s="16"/>
      <c r="I75" s="8">
        <f>453861.68/12</f>
        <v>37821.806666666664</v>
      </c>
    </row>
    <row r="76" spans="1:9" ht="36.75" customHeight="1">
      <c r="A76" s="26"/>
      <c r="B76" s="17"/>
      <c r="C76" s="17"/>
      <c r="D76" s="17"/>
      <c r="E76" s="31" t="s">
        <v>137</v>
      </c>
      <c r="F76" s="31"/>
      <c r="G76" s="18" t="s">
        <v>47</v>
      </c>
      <c r="H76" s="18"/>
      <c r="I76" s="8">
        <f>372591.78/12</f>
        <v>31049.315000000002</v>
      </c>
    </row>
    <row r="77" spans="1:9" ht="38.25" customHeight="1">
      <c r="A77" s="26">
        <v>17</v>
      </c>
      <c r="B77" s="17" t="s">
        <v>89</v>
      </c>
      <c r="C77" s="17"/>
      <c r="D77" s="17"/>
      <c r="E77" s="30" t="s">
        <v>90</v>
      </c>
      <c r="F77" s="30"/>
      <c r="G77" s="16" t="s">
        <v>10</v>
      </c>
      <c r="H77" s="16"/>
      <c r="I77" s="8">
        <f>596657.3/12</f>
        <v>49721.441666666673</v>
      </c>
    </row>
    <row r="78" spans="1:9" ht="33.75" customHeight="1">
      <c r="A78" s="26"/>
      <c r="B78" s="17"/>
      <c r="C78" s="17"/>
      <c r="D78" s="17"/>
      <c r="E78" s="30" t="s">
        <v>91</v>
      </c>
      <c r="F78" s="30"/>
      <c r="G78" s="18" t="s">
        <v>47</v>
      </c>
      <c r="H78" s="18"/>
      <c r="I78" s="8">
        <f>566272.4/12</f>
        <v>47189.366666666669</v>
      </c>
    </row>
    <row r="79" spans="1:9" ht="33.75" customHeight="1">
      <c r="A79" s="26"/>
      <c r="B79" s="17"/>
      <c r="C79" s="17"/>
      <c r="D79" s="17"/>
      <c r="E79" s="30" t="s">
        <v>92</v>
      </c>
      <c r="F79" s="30"/>
      <c r="G79" s="18" t="s">
        <v>47</v>
      </c>
      <c r="H79" s="18"/>
      <c r="I79" s="8">
        <f>556462.24/12</f>
        <v>46371.853333333333</v>
      </c>
    </row>
    <row r="80" spans="1:9" ht="33.75" customHeight="1">
      <c r="A80" s="26"/>
      <c r="B80" s="17"/>
      <c r="C80" s="17"/>
      <c r="D80" s="17"/>
      <c r="E80" s="27" t="s">
        <v>93</v>
      </c>
      <c r="F80" s="27"/>
      <c r="G80" s="18" t="s">
        <v>47</v>
      </c>
      <c r="H80" s="18"/>
      <c r="I80" s="8">
        <f>420282.79/12</f>
        <v>35023.565833333334</v>
      </c>
    </row>
    <row r="81" spans="1:9" ht="37.5" customHeight="1">
      <c r="A81" s="26">
        <v>18</v>
      </c>
      <c r="B81" s="14" t="s">
        <v>94</v>
      </c>
      <c r="C81" s="14"/>
      <c r="D81" s="14"/>
      <c r="E81" s="29" t="s">
        <v>95</v>
      </c>
      <c r="F81" s="29"/>
      <c r="G81" s="16" t="s">
        <v>10</v>
      </c>
      <c r="H81" s="16"/>
      <c r="I81" s="8">
        <f>453713.85/12</f>
        <v>37809.487499999996</v>
      </c>
    </row>
    <row r="82" spans="1:9" ht="33.75" customHeight="1">
      <c r="A82" s="26"/>
      <c r="B82" s="14"/>
      <c r="C82" s="14"/>
      <c r="D82" s="14"/>
      <c r="E82" s="29" t="s">
        <v>96</v>
      </c>
      <c r="F82" s="29"/>
      <c r="G82" s="18" t="s">
        <v>47</v>
      </c>
      <c r="H82" s="18"/>
      <c r="I82" s="8">
        <f>389238.95/12</f>
        <v>32436.579166666666</v>
      </c>
    </row>
    <row r="83" spans="1:9" ht="33.75" customHeight="1">
      <c r="A83" s="26"/>
      <c r="B83" s="14"/>
      <c r="C83" s="14"/>
      <c r="D83" s="14"/>
      <c r="E83" s="29" t="s">
        <v>97</v>
      </c>
      <c r="F83" s="29"/>
      <c r="G83" s="18" t="s">
        <v>47</v>
      </c>
      <c r="H83" s="18"/>
      <c r="I83" s="8">
        <f>491806.69/12</f>
        <v>40983.890833333331</v>
      </c>
    </row>
    <row r="84" spans="1:9" ht="34.5" customHeight="1">
      <c r="A84" s="26">
        <v>19</v>
      </c>
      <c r="B84" s="17" t="s">
        <v>98</v>
      </c>
      <c r="C84" s="17"/>
      <c r="D84" s="17"/>
      <c r="E84" s="20" t="s">
        <v>99</v>
      </c>
      <c r="F84" s="20"/>
      <c r="G84" s="16" t="s">
        <v>10</v>
      </c>
      <c r="H84" s="16"/>
      <c r="I84" s="8">
        <f>463131.63/12</f>
        <v>38594.302499999998</v>
      </c>
    </row>
    <row r="85" spans="1:9" ht="36" customHeight="1">
      <c r="A85" s="26"/>
      <c r="B85" s="17"/>
      <c r="C85" s="17"/>
      <c r="D85" s="17"/>
      <c r="E85" s="20" t="s">
        <v>138</v>
      </c>
      <c r="F85" s="20"/>
      <c r="G85" s="18" t="s">
        <v>47</v>
      </c>
      <c r="H85" s="18"/>
      <c r="I85" s="8">
        <f>293785.82/12</f>
        <v>24482.151666666668</v>
      </c>
    </row>
    <row r="86" spans="1:9" s="6" customFormat="1" ht="33" customHeight="1">
      <c r="A86" s="28">
        <v>20</v>
      </c>
      <c r="B86" s="14" t="s">
        <v>102</v>
      </c>
      <c r="C86" s="14"/>
      <c r="D86" s="14"/>
      <c r="E86" s="29" t="s">
        <v>103</v>
      </c>
      <c r="F86" s="29"/>
      <c r="G86" s="13" t="s">
        <v>10</v>
      </c>
      <c r="H86" s="13"/>
      <c r="I86" s="10">
        <f>521124.12/12</f>
        <v>43427.01</v>
      </c>
    </row>
    <row r="87" spans="1:9" s="6" customFormat="1" ht="33.75" customHeight="1">
      <c r="A87" s="28"/>
      <c r="B87" s="14"/>
      <c r="C87" s="14"/>
      <c r="D87" s="14"/>
      <c r="E87" s="29" t="s">
        <v>139</v>
      </c>
      <c r="F87" s="29"/>
      <c r="G87" s="15" t="s">
        <v>47</v>
      </c>
      <c r="H87" s="15"/>
      <c r="I87" s="10">
        <f>353260.73/12</f>
        <v>29438.394166666665</v>
      </c>
    </row>
    <row r="88" spans="1:9" s="6" customFormat="1" ht="33.75" customHeight="1">
      <c r="A88" s="28"/>
      <c r="B88" s="14"/>
      <c r="C88" s="14"/>
      <c r="D88" s="14"/>
      <c r="E88" s="29" t="s">
        <v>140</v>
      </c>
      <c r="F88" s="29"/>
      <c r="G88" s="15" t="s">
        <v>47</v>
      </c>
      <c r="H88" s="15"/>
      <c r="I88" s="10">
        <f>365281.97/12</f>
        <v>30440.164166666666</v>
      </c>
    </row>
    <row r="89" spans="1:9" ht="39" customHeight="1">
      <c r="A89" s="26">
        <v>21</v>
      </c>
      <c r="B89" s="17" t="s">
        <v>106</v>
      </c>
      <c r="C89" s="17"/>
      <c r="D89" s="17"/>
      <c r="E89" s="20" t="s">
        <v>107</v>
      </c>
      <c r="F89" s="20"/>
      <c r="G89" s="16" t="s">
        <v>10</v>
      </c>
      <c r="H89" s="16"/>
      <c r="I89" s="8">
        <f>524871.82/12</f>
        <v>43739.318333333329</v>
      </c>
    </row>
    <row r="90" spans="1:9" ht="36" customHeight="1">
      <c r="A90" s="26"/>
      <c r="B90" s="17"/>
      <c r="C90" s="17"/>
      <c r="D90" s="17"/>
      <c r="E90" s="27" t="s">
        <v>109</v>
      </c>
      <c r="F90" s="27"/>
      <c r="G90" s="18" t="s">
        <v>47</v>
      </c>
      <c r="H90" s="18"/>
      <c r="I90" s="8">
        <f>388422.79/12</f>
        <v>32368.56583333333</v>
      </c>
    </row>
    <row r="91" spans="1:9" ht="33.75" customHeight="1">
      <c r="A91" s="26"/>
      <c r="B91" s="17"/>
      <c r="C91" s="17"/>
      <c r="D91" s="17"/>
      <c r="E91" s="20" t="s">
        <v>157</v>
      </c>
      <c r="F91" s="20"/>
      <c r="G91" s="18" t="s">
        <v>47</v>
      </c>
      <c r="H91" s="18"/>
      <c r="I91" s="8">
        <f>111844.72/4</f>
        <v>27961.18</v>
      </c>
    </row>
    <row r="92" spans="1:9" ht="34.5" customHeight="1">
      <c r="A92" s="26">
        <v>22</v>
      </c>
      <c r="B92" s="17" t="s">
        <v>110</v>
      </c>
      <c r="C92" s="17"/>
      <c r="D92" s="17"/>
      <c r="E92" s="20" t="s">
        <v>111</v>
      </c>
      <c r="F92" s="20"/>
      <c r="G92" s="16" t="s">
        <v>10</v>
      </c>
      <c r="H92" s="16"/>
      <c r="I92" s="8">
        <f>594256.73/12</f>
        <v>49521.394166666665</v>
      </c>
    </row>
    <row r="93" spans="1:9" ht="33.75" customHeight="1">
      <c r="A93" s="26"/>
      <c r="B93" s="17"/>
      <c r="C93" s="17"/>
      <c r="D93" s="17"/>
      <c r="E93" s="20" t="s">
        <v>112</v>
      </c>
      <c r="F93" s="20"/>
      <c r="G93" s="18" t="s">
        <v>47</v>
      </c>
      <c r="H93" s="18"/>
      <c r="I93" s="8">
        <f>572328.1/12</f>
        <v>47694.008333333331</v>
      </c>
    </row>
    <row r="94" spans="1:9" ht="33.75" customHeight="1">
      <c r="A94" s="26"/>
      <c r="B94" s="17"/>
      <c r="C94" s="17"/>
      <c r="D94" s="17"/>
      <c r="E94" s="20" t="s">
        <v>113</v>
      </c>
      <c r="F94" s="20"/>
      <c r="G94" s="18" t="s">
        <v>47</v>
      </c>
      <c r="H94" s="18"/>
      <c r="I94" s="8">
        <f>503556.63/12</f>
        <v>41963.052499999998</v>
      </c>
    </row>
    <row r="95" spans="1:9" ht="53.25" customHeight="1">
      <c r="A95" s="11">
        <v>23</v>
      </c>
      <c r="B95" s="19" t="s">
        <v>114</v>
      </c>
      <c r="C95" s="19"/>
      <c r="D95" s="19"/>
      <c r="E95" s="20" t="s">
        <v>115</v>
      </c>
      <c r="F95" s="20"/>
      <c r="G95" s="16" t="s">
        <v>10</v>
      </c>
      <c r="H95" s="16"/>
      <c r="I95" s="8">
        <f>408143.3/12</f>
        <v>34011.941666666666</v>
      </c>
    </row>
    <row r="96" spans="1:9" ht="53.25" customHeight="1">
      <c r="A96" s="11">
        <v>24</v>
      </c>
      <c r="B96" s="21" t="s">
        <v>142</v>
      </c>
      <c r="C96" s="22"/>
      <c r="D96" s="23"/>
      <c r="E96" s="24" t="s">
        <v>143</v>
      </c>
      <c r="F96" s="25"/>
      <c r="G96" s="16" t="s">
        <v>10</v>
      </c>
      <c r="H96" s="16"/>
      <c r="I96" s="8">
        <f>377186.17/12</f>
        <v>31432.180833333332</v>
      </c>
    </row>
    <row r="97" spans="1:9" ht="35.25" customHeight="1">
      <c r="A97" s="16">
        <v>25</v>
      </c>
      <c r="B97" s="17" t="s">
        <v>116</v>
      </c>
      <c r="C97" s="17"/>
      <c r="D97" s="17"/>
      <c r="E97" s="18" t="s">
        <v>117</v>
      </c>
      <c r="F97" s="18"/>
      <c r="G97" s="16" t="s">
        <v>10</v>
      </c>
      <c r="H97" s="16"/>
      <c r="I97" s="8">
        <f>555448.83/12</f>
        <v>46287.402499999997</v>
      </c>
    </row>
    <row r="98" spans="1:9" ht="28.5" customHeight="1">
      <c r="A98" s="16"/>
      <c r="B98" s="17"/>
      <c r="C98" s="17"/>
      <c r="D98" s="17"/>
      <c r="E98" s="18" t="s">
        <v>118</v>
      </c>
      <c r="F98" s="18"/>
      <c r="G98" s="18" t="s">
        <v>47</v>
      </c>
      <c r="H98" s="18"/>
      <c r="I98" s="8">
        <f>384940.75/12</f>
        <v>32078.395833333332</v>
      </c>
    </row>
    <row r="99" spans="1:9" s="6" customFormat="1" ht="30.75" customHeight="1">
      <c r="A99" s="13">
        <v>26</v>
      </c>
      <c r="B99" s="14" t="s">
        <v>121</v>
      </c>
      <c r="C99" s="14"/>
      <c r="D99" s="14"/>
      <c r="E99" s="15" t="s">
        <v>122</v>
      </c>
      <c r="F99" s="15"/>
      <c r="G99" s="13" t="s">
        <v>10</v>
      </c>
      <c r="H99" s="13"/>
      <c r="I99" s="10">
        <f>459818/12</f>
        <v>38318.166666666664</v>
      </c>
    </row>
    <row r="100" spans="1:9" s="6" customFormat="1" ht="30" customHeight="1">
      <c r="A100" s="13"/>
      <c r="B100" s="14"/>
      <c r="C100" s="14"/>
      <c r="D100" s="14"/>
      <c r="E100" s="15" t="s">
        <v>158</v>
      </c>
      <c r="F100" s="15"/>
      <c r="G100" s="15" t="s">
        <v>47</v>
      </c>
      <c r="H100" s="15"/>
      <c r="I100" s="10">
        <f>455045.44/12</f>
        <v>37920.453333333331</v>
      </c>
    </row>
    <row r="101" spans="1:9" s="6" customFormat="1" ht="30.75" customHeight="1">
      <c r="A101" s="13"/>
      <c r="B101" s="14"/>
      <c r="C101" s="14"/>
      <c r="D101" s="14"/>
      <c r="E101" s="15" t="s">
        <v>124</v>
      </c>
      <c r="F101" s="15"/>
      <c r="G101" s="15" t="s">
        <v>47</v>
      </c>
      <c r="H101" s="15"/>
      <c r="I101" s="10">
        <f>457751.1/12</f>
        <v>38145.924999999996</v>
      </c>
    </row>
    <row r="102" spans="1:9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>
      <c r="A105" s="12" t="s">
        <v>159</v>
      </c>
      <c r="B105" s="12"/>
      <c r="C105" s="12"/>
      <c r="D105" s="12"/>
      <c r="E105" s="12"/>
      <c r="F105" s="12"/>
      <c r="G105" s="12"/>
      <c r="H105" s="12"/>
      <c r="I105" s="12"/>
    </row>
    <row r="106" spans="1:9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>
      <c r="A108" s="12"/>
      <c r="B108" s="12"/>
      <c r="C108" s="12"/>
      <c r="D108" s="12"/>
      <c r="E108" s="12"/>
      <c r="F108" s="12"/>
      <c r="G108" s="12"/>
      <c r="H108" s="12"/>
      <c r="I108" s="12"/>
    </row>
  </sheetData>
  <mergeCells count="235">
    <mergeCell ref="A2:I2"/>
    <mergeCell ref="A3:I3"/>
    <mergeCell ref="A4:I4"/>
    <mergeCell ref="A5:A6"/>
    <mergeCell ref="B5:D6"/>
    <mergeCell ref="E5:F6"/>
    <mergeCell ref="G5:H6"/>
    <mergeCell ref="I5:I6"/>
    <mergeCell ref="I8:I9"/>
    <mergeCell ref="E10:F11"/>
    <mergeCell ref="G10:H11"/>
    <mergeCell ref="I10:I11"/>
    <mergeCell ref="A12:A22"/>
    <mergeCell ref="B12:D22"/>
    <mergeCell ref="E12:F12"/>
    <mergeCell ref="G12:H12"/>
    <mergeCell ref="E13:F14"/>
    <mergeCell ref="G13:H14"/>
    <mergeCell ref="A7:A11"/>
    <mergeCell ref="B7:D11"/>
    <mergeCell ref="E7:F7"/>
    <mergeCell ref="G7:H7"/>
    <mergeCell ref="E8:F9"/>
    <mergeCell ref="G8:H9"/>
    <mergeCell ref="A23:A29"/>
    <mergeCell ref="B23:D29"/>
    <mergeCell ref="E23:F24"/>
    <mergeCell ref="G23:H24"/>
    <mergeCell ref="I23:I24"/>
    <mergeCell ref="I13:I14"/>
    <mergeCell ref="E15:F16"/>
    <mergeCell ref="G15:H16"/>
    <mergeCell ref="I15:I16"/>
    <mergeCell ref="E17:F19"/>
    <mergeCell ref="G17:H19"/>
    <mergeCell ref="I17:I19"/>
    <mergeCell ref="E25:F27"/>
    <mergeCell ref="G25:H27"/>
    <mergeCell ref="I25:I27"/>
    <mergeCell ref="E28:F29"/>
    <mergeCell ref="G28:H29"/>
    <mergeCell ref="I28:I29"/>
    <mergeCell ref="E20:F21"/>
    <mergeCell ref="G20:H21"/>
    <mergeCell ref="I20:I21"/>
    <mergeCell ref="E22:F22"/>
    <mergeCell ref="G22:H22"/>
    <mergeCell ref="A33:A35"/>
    <mergeCell ref="B33:D35"/>
    <mergeCell ref="E33:F33"/>
    <mergeCell ref="G33:H33"/>
    <mergeCell ref="E34:F34"/>
    <mergeCell ref="G34:H34"/>
    <mergeCell ref="E35:F35"/>
    <mergeCell ref="G35:H35"/>
    <mergeCell ref="A30:A32"/>
    <mergeCell ref="B30:D32"/>
    <mergeCell ref="E30:F30"/>
    <mergeCell ref="G30:H30"/>
    <mergeCell ref="E31:F31"/>
    <mergeCell ref="G31:H31"/>
    <mergeCell ref="E32:F32"/>
    <mergeCell ref="G32:H32"/>
    <mergeCell ref="A43:A45"/>
    <mergeCell ref="B43:D45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A36:A42"/>
    <mergeCell ref="B36:D42"/>
    <mergeCell ref="E36:F36"/>
    <mergeCell ref="G36:H36"/>
    <mergeCell ref="E37:F37"/>
    <mergeCell ref="G37:H37"/>
    <mergeCell ref="E38:F38"/>
    <mergeCell ref="G38:H38"/>
    <mergeCell ref="E39:F39"/>
    <mergeCell ref="G39:H39"/>
    <mergeCell ref="E50:F50"/>
    <mergeCell ref="G50:H50"/>
    <mergeCell ref="E51:F51"/>
    <mergeCell ref="G51:H51"/>
    <mergeCell ref="A52:A54"/>
    <mergeCell ref="B52:D54"/>
    <mergeCell ref="E52:F52"/>
    <mergeCell ref="G52:H52"/>
    <mergeCell ref="E53:F53"/>
    <mergeCell ref="G53:H53"/>
    <mergeCell ref="A46:A51"/>
    <mergeCell ref="B46:D51"/>
    <mergeCell ref="E46:F46"/>
    <mergeCell ref="G46:H46"/>
    <mergeCell ref="E47:F47"/>
    <mergeCell ref="G47:H47"/>
    <mergeCell ref="E48:F48"/>
    <mergeCell ref="G48:H48"/>
    <mergeCell ref="E49:F49"/>
    <mergeCell ref="G49:H49"/>
    <mergeCell ref="E54:F54"/>
    <mergeCell ref="G54:H54"/>
    <mergeCell ref="A55:A57"/>
    <mergeCell ref="B55:D57"/>
    <mergeCell ref="E55:F55"/>
    <mergeCell ref="G55:H55"/>
    <mergeCell ref="E56:F56"/>
    <mergeCell ref="G56:H56"/>
    <mergeCell ref="E57:F57"/>
    <mergeCell ref="G57:H57"/>
    <mergeCell ref="A61:A63"/>
    <mergeCell ref="B61:D63"/>
    <mergeCell ref="E61:F61"/>
    <mergeCell ref="G61:H61"/>
    <mergeCell ref="E62:F62"/>
    <mergeCell ref="G62:H62"/>
    <mergeCell ref="E63:F63"/>
    <mergeCell ref="G63:H63"/>
    <mergeCell ref="A58:A60"/>
    <mergeCell ref="B58:D60"/>
    <mergeCell ref="E58:F58"/>
    <mergeCell ref="G58:H58"/>
    <mergeCell ref="E59:F59"/>
    <mergeCell ref="G59:H59"/>
    <mergeCell ref="E60:F60"/>
    <mergeCell ref="G60:H60"/>
    <mergeCell ref="A68:A70"/>
    <mergeCell ref="B68:D70"/>
    <mergeCell ref="E68:F68"/>
    <mergeCell ref="G68:H68"/>
    <mergeCell ref="E69:F69"/>
    <mergeCell ref="G69:H69"/>
    <mergeCell ref="E70:F70"/>
    <mergeCell ref="G70:H70"/>
    <mergeCell ref="A64:A67"/>
    <mergeCell ref="B64:D67"/>
    <mergeCell ref="E64:F64"/>
    <mergeCell ref="G64:H64"/>
    <mergeCell ref="E65:F65"/>
    <mergeCell ref="G65:H65"/>
    <mergeCell ref="E66:F66"/>
    <mergeCell ref="G66:H66"/>
    <mergeCell ref="E67:F67"/>
    <mergeCell ref="G67:H67"/>
    <mergeCell ref="A75:A76"/>
    <mergeCell ref="B75:D76"/>
    <mergeCell ref="E75:F75"/>
    <mergeCell ref="G75:H75"/>
    <mergeCell ref="E76:F76"/>
    <mergeCell ref="G76:H76"/>
    <mergeCell ref="A71:A74"/>
    <mergeCell ref="B71:D74"/>
    <mergeCell ref="E71:F71"/>
    <mergeCell ref="G71:H71"/>
    <mergeCell ref="E72:F72"/>
    <mergeCell ref="G72:H72"/>
    <mergeCell ref="E73:F73"/>
    <mergeCell ref="G73:H73"/>
    <mergeCell ref="E74:F74"/>
    <mergeCell ref="G74:H74"/>
    <mergeCell ref="A77:A80"/>
    <mergeCell ref="B77:D80"/>
    <mergeCell ref="E77:F77"/>
    <mergeCell ref="G77:H77"/>
    <mergeCell ref="E78:F78"/>
    <mergeCell ref="G78:H78"/>
    <mergeCell ref="E79:F79"/>
    <mergeCell ref="G79:H79"/>
    <mergeCell ref="E80:F80"/>
    <mergeCell ref="G80:H80"/>
    <mergeCell ref="A84:A85"/>
    <mergeCell ref="B84:D85"/>
    <mergeCell ref="E84:F84"/>
    <mergeCell ref="G84:H84"/>
    <mergeCell ref="E85:F85"/>
    <mergeCell ref="G85:H85"/>
    <mergeCell ref="A81:A83"/>
    <mergeCell ref="B81:D83"/>
    <mergeCell ref="E81:F81"/>
    <mergeCell ref="G81:H81"/>
    <mergeCell ref="E82:F82"/>
    <mergeCell ref="G82:H82"/>
    <mergeCell ref="E83:F83"/>
    <mergeCell ref="G83:H83"/>
    <mergeCell ref="A89:A91"/>
    <mergeCell ref="B89:D91"/>
    <mergeCell ref="E89:F89"/>
    <mergeCell ref="G89:H89"/>
    <mergeCell ref="E90:F90"/>
    <mergeCell ref="G90:H90"/>
    <mergeCell ref="E91:F91"/>
    <mergeCell ref="G91:H91"/>
    <mergeCell ref="A86:A88"/>
    <mergeCell ref="B86:D88"/>
    <mergeCell ref="E86:F86"/>
    <mergeCell ref="G86:H86"/>
    <mergeCell ref="E87:F87"/>
    <mergeCell ref="G87:H87"/>
    <mergeCell ref="E88:F88"/>
    <mergeCell ref="G88:H88"/>
    <mergeCell ref="B95:D95"/>
    <mergeCell ref="E95:F95"/>
    <mergeCell ref="G95:H95"/>
    <mergeCell ref="B96:D96"/>
    <mergeCell ref="E96:F96"/>
    <mergeCell ref="G96:H96"/>
    <mergeCell ref="A92:A94"/>
    <mergeCell ref="B92:D94"/>
    <mergeCell ref="E92:F92"/>
    <mergeCell ref="G92:H92"/>
    <mergeCell ref="E93:F93"/>
    <mergeCell ref="G93:H93"/>
    <mergeCell ref="E94:F94"/>
    <mergeCell ref="G94:H94"/>
    <mergeCell ref="A99:A101"/>
    <mergeCell ref="B99:D101"/>
    <mergeCell ref="E99:F99"/>
    <mergeCell ref="G99:H99"/>
    <mergeCell ref="E100:F100"/>
    <mergeCell ref="G100:H100"/>
    <mergeCell ref="E101:F101"/>
    <mergeCell ref="G101:H101"/>
    <mergeCell ref="A97:A98"/>
    <mergeCell ref="B97:D98"/>
    <mergeCell ref="E97:F97"/>
    <mergeCell ref="G97:H97"/>
    <mergeCell ref="E98:F98"/>
    <mergeCell ref="G98:H98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9"/>
  <sheetViews>
    <sheetView topLeftCell="A53" workbookViewId="0">
      <selection activeCell="I57" sqref="I57"/>
    </sheetView>
  </sheetViews>
  <sheetFormatPr defaultRowHeight="15"/>
  <cols>
    <col min="1" max="1" width="5.42578125" customWidth="1"/>
    <col min="4" max="4" width="7.42578125" customWidth="1"/>
    <col min="5" max="5" width="13" customWidth="1"/>
    <col min="6" max="6" width="13.7109375" customWidth="1"/>
    <col min="8" max="8" width="6.140625" customWidth="1"/>
    <col min="9" max="9" width="14.28515625" customWidth="1"/>
  </cols>
  <sheetData>
    <row r="2" spans="1:9" ht="18.75">
      <c r="A2" s="76" t="s">
        <v>0</v>
      </c>
      <c r="B2" s="76"/>
      <c r="C2" s="76"/>
      <c r="D2" s="76"/>
      <c r="E2" s="76"/>
      <c r="F2" s="76"/>
      <c r="G2" s="76"/>
      <c r="H2" s="76"/>
      <c r="I2" s="76"/>
    </row>
    <row r="3" spans="1:9" ht="18.75">
      <c r="A3" s="76" t="s">
        <v>1</v>
      </c>
      <c r="B3" s="76"/>
      <c r="C3" s="76"/>
      <c r="D3" s="76"/>
      <c r="E3" s="76"/>
      <c r="F3" s="76"/>
      <c r="G3" s="76"/>
      <c r="H3" s="76"/>
      <c r="I3" s="76"/>
    </row>
    <row r="4" spans="1:9" ht="18.75">
      <c r="A4" s="76" t="s">
        <v>126</v>
      </c>
      <c r="B4" s="76"/>
      <c r="C4" s="76"/>
      <c r="D4" s="76"/>
      <c r="E4" s="76"/>
      <c r="F4" s="76"/>
      <c r="G4" s="76"/>
      <c r="H4" s="76"/>
      <c r="I4" s="76"/>
    </row>
    <row r="5" spans="1:9" ht="31.5" customHeight="1">
      <c r="A5" s="18" t="s">
        <v>7</v>
      </c>
      <c r="B5" s="16" t="s">
        <v>3</v>
      </c>
      <c r="C5" s="16"/>
      <c r="D5" s="16"/>
      <c r="E5" s="16" t="s">
        <v>4</v>
      </c>
      <c r="F5" s="16"/>
      <c r="G5" s="16" t="s">
        <v>5</v>
      </c>
      <c r="H5" s="16"/>
      <c r="I5" s="18" t="s">
        <v>130</v>
      </c>
    </row>
    <row r="6" spans="1:9" ht="27" customHeight="1">
      <c r="A6" s="18"/>
      <c r="B6" s="16"/>
      <c r="C6" s="16"/>
      <c r="D6" s="16"/>
      <c r="E6" s="16"/>
      <c r="F6" s="16"/>
      <c r="G6" s="16"/>
      <c r="H6" s="16"/>
      <c r="I6" s="18"/>
    </row>
    <row r="7" spans="1:9" ht="28.5" customHeight="1">
      <c r="A7" s="26">
        <v>1</v>
      </c>
      <c r="B7" s="75" t="s">
        <v>8</v>
      </c>
      <c r="C7" s="75"/>
      <c r="D7" s="75"/>
      <c r="E7" s="18" t="s">
        <v>127</v>
      </c>
      <c r="F7" s="18"/>
      <c r="G7" s="16" t="s">
        <v>10</v>
      </c>
      <c r="H7" s="16"/>
      <c r="I7" s="7">
        <f>172913.38/4</f>
        <v>43228.345000000001</v>
      </c>
    </row>
    <row r="8" spans="1:9" ht="15" customHeight="1">
      <c r="A8" s="26"/>
      <c r="B8" s="75"/>
      <c r="C8" s="75"/>
      <c r="D8" s="75"/>
      <c r="E8" s="20" t="s">
        <v>11</v>
      </c>
      <c r="F8" s="20"/>
      <c r="G8" s="18" t="s">
        <v>12</v>
      </c>
      <c r="H8" s="18"/>
      <c r="I8" s="55">
        <f>518615/12</f>
        <v>43217.916666666664</v>
      </c>
    </row>
    <row r="9" spans="1:9">
      <c r="A9" s="26"/>
      <c r="B9" s="75"/>
      <c r="C9" s="75"/>
      <c r="D9" s="75"/>
      <c r="E9" s="20"/>
      <c r="F9" s="20"/>
      <c r="G9" s="18"/>
      <c r="H9" s="18"/>
      <c r="I9" s="55"/>
    </row>
    <row r="10" spans="1:9" ht="15" customHeight="1">
      <c r="A10" s="26"/>
      <c r="B10" s="75"/>
      <c r="C10" s="75"/>
      <c r="D10" s="75"/>
      <c r="E10" s="20" t="s">
        <v>15</v>
      </c>
      <c r="F10" s="20"/>
      <c r="G10" s="18" t="s">
        <v>12</v>
      </c>
      <c r="H10" s="18"/>
      <c r="I10" s="55">
        <f>311153.27/12</f>
        <v>25929.439166666667</v>
      </c>
    </row>
    <row r="11" spans="1:9">
      <c r="A11" s="26"/>
      <c r="B11" s="75"/>
      <c r="C11" s="75"/>
      <c r="D11" s="75"/>
      <c r="E11" s="20"/>
      <c r="F11" s="20"/>
      <c r="G11" s="18"/>
      <c r="H11" s="18"/>
      <c r="I11" s="55"/>
    </row>
    <row r="12" spans="1:9" ht="32.25" customHeight="1">
      <c r="A12" s="63">
        <v>2</v>
      </c>
      <c r="B12" s="66" t="s">
        <v>13</v>
      </c>
      <c r="C12" s="67"/>
      <c r="D12" s="68"/>
      <c r="E12" s="18" t="s">
        <v>128</v>
      </c>
      <c r="F12" s="18"/>
      <c r="G12" s="16" t="s">
        <v>10</v>
      </c>
      <c r="H12" s="16"/>
      <c r="I12" s="7">
        <f>201618.31/4</f>
        <v>50404.577499999999</v>
      </c>
    </row>
    <row r="13" spans="1:9" ht="15" customHeight="1">
      <c r="A13" s="64"/>
      <c r="B13" s="69"/>
      <c r="C13" s="70"/>
      <c r="D13" s="71"/>
      <c r="E13" s="20" t="s">
        <v>16</v>
      </c>
      <c r="F13" s="20"/>
      <c r="G13" s="18" t="s">
        <v>12</v>
      </c>
      <c r="H13" s="18"/>
      <c r="I13" s="55">
        <f>575137.75/12</f>
        <v>47928.145833333336</v>
      </c>
    </row>
    <row r="14" spans="1:9">
      <c r="A14" s="64"/>
      <c r="B14" s="69"/>
      <c r="C14" s="70"/>
      <c r="D14" s="71"/>
      <c r="E14" s="20"/>
      <c r="F14" s="20"/>
      <c r="G14" s="18"/>
      <c r="H14" s="18"/>
      <c r="I14" s="55"/>
    </row>
    <row r="15" spans="1:9" ht="15" customHeight="1">
      <c r="A15" s="64"/>
      <c r="B15" s="69"/>
      <c r="C15" s="70"/>
      <c r="D15" s="71"/>
      <c r="E15" s="20" t="s">
        <v>17</v>
      </c>
      <c r="F15" s="20"/>
      <c r="G15" s="18" t="s">
        <v>12</v>
      </c>
      <c r="H15" s="18"/>
      <c r="I15" s="55">
        <f>571980.23/12</f>
        <v>47665.019166666665</v>
      </c>
    </row>
    <row r="16" spans="1:9">
      <c r="A16" s="64"/>
      <c r="B16" s="69"/>
      <c r="C16" s="70"/>
      <c r="D16" s="71"/>
      <c r="E16" s="20"/>
      <c r="F16" s="20"/>
      <c r="G16" s="18"/>
      <c r="H16" s="18"/>
      <c r="I16" s="55"/>
    </row>
    <row r="17" spans="1:9" ht="15" customHeight="1">
      <c r="A17" s="64"/>
      <c r="B17" s="69"/>
      <c r="C17" s="70"/>
      <c r="D17" s="71"/>
      <c r="E17" s="20" t="s">
        <v>129</v>
      </c>
      <c r="F17" s="20"/>
      <c r="G17" s="18" t="s">
        <v>12</v>
      </c>
      <c r="H17" s="18"/>
      <c r="I17" s="55">
        <f>197191.06/4</f>
        <v>49297.764999999999</v>
      </c>
    </row>
    <row r="18" spans="1:9">
      <c r="A18" s="64"/>
      <c r="B18" s="69"/>
      <c r="C18" s="70"/>
      <c r="D18" s="71"/>
      <c r="E18" s="20"/>
      <c r="F18" s="20"/>
      <c r="G18" s="18"/>
      <c r="H18" s="18"/>
      <c r="I18" s="55"/>
    </row>
    <row r="19" spans="1:9" ht="4.5" hidden="1" customHeight="1">
      <c r="A19" s="64"/>
      <c r="B19" s="69"/>
      <c r="C19" s="70"/>
      <c r="D19" s="71"/>
      <c r="E19" s="20"/>
      <c r="F19" s="20"/>
      <c r="G19" s="18"/>
      <c r="H19" s="18"/>
      <c r="I19" s="55"/>
    </row>
    <row r="20" spans="1:9" ht="15" customHeight="1">
      <c r="A20" s="64"/>
      <c r="B20" s="69"/>
      <c r="C20" s="70"/>
      <c r="D20" s="71"/>
      <c r="E20" s="20" t="s">
        <v>19</v>
      </c>
      <c r="F20" s="20"/>
      <c r="G20" s="18" t="s">
        <v>12</v>
      </c>
      <c r="H20" s="18"/>
      <c r="I20" s="55">
        <f>663932.77/12</f>
        <v>55327.730833333335</v>
      </c>
    </row>
    <row r="21" spans="1:9">
      <c r="A21" s="64"/>
      <c r="B21" s="69"/>
      <c r="C21" s="70"/>
      <c r="D21" s="71"/>
      <c r="E21" s="20"/>
      <c r="F21" s="20"/>
      <c r="G21" s="18"/>
      <c r="H21" s="18"/>
      <c r="I21" s="55"/>
    </row>
    <row r="22" spans="1:9" ht="43.5" customHeight="1">
      <c r="A22" s="65"/>
      <c r="B22" s="72"/>
      <c r="C22" s="73"/>
      <c r="D22" s="74"/>
      <c r="E22" s="24" t="s">
        <v>119</v>
      </c>
      <c r="F22" s="25"/>
      <c r="G22" s="56" t="s">
        <v>41</v>
      </c>
      <c r="H22" s="57"/>
      <c r="I22" s="9">
        <f>355178/0.81/12</f>
        <v>36540.94650205761</v>
      </c>
    </row>
    <row r="23" spans="1:9" ht="17.25" customHeight="1">
      <c r="A23" s="26">
        <v>3</v>
      </c>
      <c r="B23" s="58" t="s">
        <v>20</v>
      </c>
      <c r="C23" s="58"/>
      <c r="D23" s="58"/>
      <c r="E23" s="45" t="s">
        <v>21</v>
      </c>
      <c r="F23" s="45"/>
      <c r="G23" s="16" t="s">
        <v>10</v>
      </c>
      <c r="H23" s="16"/>
      <c r="I23" s="52">
        <f>570652.35/12</f>
        <v>47554.362499999996</v>
      </c>
    </row>
    <row r="24" spans="1:9">
      <c r="A24" s="26"/>
      <c r="B24" s="58"/>
      <c r="C24" s="58"/>
      <c r="D24" s="58"/>
      <c r="E24" s="45"/>
      <c r="F24" s="45"/>
      <c r="G24" s="16"/>
      <c r="H24" s="16"/>
      <c r="I24" s="54"/>
    </row>
    <row r="25" spans="1:9" ht="12" customHeight="1">
      <c r="A25" s="26"/>
      <c r="B25" s="58"/>
      <c r="C25" s="58"/>
      <c r="D25" s="58"/>
      <c r="E25" s="45" t="s">
        <v>22</v>
      </c>
      <c r="F25" s="45"/>
      <c r="G25" s="46" t="s">
        <v>12</v>
      </c>
      <c r="H25" s="47"/>
      <c r="I25" s="52">
        <f>422788.51/12</f>
        <v>35232.375833333332</v>
      </c>
    </row>
    <row r="26" spans="1:9">
      <c r="A26" s="26"/>
      <c r="B26" s="58"/>
      <c r="C26" s="58"/>
      <c r="D26" s="58"/>
      <c r="E26" s="45"/>
      <c r="F26" s="45"/>
      <c r="G26" s="48"/>
      <c r="H26" s="49"/>
      <c r="I26" s="53"/>
    </row>
    <row r="27" spans="1:9" ht="5.25" customHeight="1">
      <c r="A27" s="26"/>
      <c r="B27" s="58"/>
      <c r="C27" s="58"/>
      <c r="D27" s="58"/>
      <c r="E27" s="45"/>
      <c r="F27" s="45"/>
      <c r="G27" s="50"/>
      <c r="H27" s="51"/>
      <c r="I27" s="54"/>
    </row>
    <row r="28" spans="1:9" ht="15" customHeight="1">
      <c r="A28" s="26"/>
      <c r="B28" s="58"/>
      <c r="C28" s="58"/>
      <c r="D28" s="58"/>
      <c r="E28" s="45" t="s">
        <v>24</v>
      </c>
      <c r="F28" s="45"/>
      <c r="G28" s="18" t="s">
        <v>12</v>
      </c>
      <c r="H28" s="18"/>
      <c r="I28" s="52">
        <f>441077.04/12</f>
        <v>36756.42</v>
      </c>
    </row>
    <row r="29" spans="1:9">
      <c r="A29" s="26"/>
      <c r="B29" s="58"/>
      <c r="C29" s="58"/>
      <c r="D29" s="58"/>
      <c r="E29" s="45"/>
      <c r="F29" s="45"/>
      <c r="G29" s="18"/>
      <c r="H29" s="18"/>
      <c r="I29" s="54"/>
    </row>
    <row r="30" spans="1:9" ht="30.75" customHeight="1">
      <c r="A30" s="26">
        <v>4</v>
      </c>
      <c r="B30" s="44" t="s">
        <v>25</v>
      </c>
      <c r="C30" s="44"/>
      <c r="D30" s="44"/>
      <c r="E30" s="29" t="s">
        <v>26</v>
      </c>
      <c r="F30" s="29"/>
      <c r="G30" s="18" t="s">
        <v>10</v>
      </c>
      <c r="H30" s="18"/>
      <c r="I30" s="7">
        <f>749768.48/12</f>
        <v>62480.706666666665</v>
      </c>
    </row>
    <row r="31" spans="1:9" ht="33.75" customHeight="1">
      <c r="A31" s="26"/>
      <c r="B31" s="44"/>
      <c r="C31" s="44"/>
      <c r="D31" s="44"/>
      <c r="E31" s="29" t="s">
        <v>27</v>
      </c>
      <c r="F31" s="29"/>
      <c r="G31" s="18" t="s">
        <v>12</v>
      </c>
      <c r="H31" s="18"/>
      <c r="I31" s="7">
        <f>590602.84/12</f>
        <v>49216.903333333328</v>
      </c>
    </row>
    <row r="32" spans="1:9" ht="33.75" customHeight="1">
      <c r="A32" s="26"/>
      <c r="B32" s="44"/>
      <c r="C32" s="44"/>
      <c r="D32" s="44"/>
      <c r="E32" s="29" t="s">
        <v>131</v>
      </c>
      <c r="F32" s="29"/>
      <c r="G32" s="18" t="s">
        <v>12</v>
      </c>
      <c r="H32" s="18"/>
      <c r="I32" s="7">
        <f>185877.71/4</f>
        <v>46469.427499999998</v>
      </c>
    </row>
    <row r="33" spans="1:9" ht="28.5" customHeight="1">
      <c r="A33" s="26">
        <v>5</v>
      </c>
      <c r="B33" s="43" t="s">
        <v>29</v>
      </c>
      <c r="C33" s="43"/>
      <c r="D33" s="43"/>
      <c r="E33" s="20" t="s">
        <v>30</v>
      </c>
      <c r="F33" s="20"/>
      <c r="G33" s="16" t="s">
        <v>10</v>
      </c>
      <c r="H33" s="16"/>
      <c r="I33" s="7">
        <f>501869.41/12</f>
        <v>41822.450833333329</v>
      </c>
    </row>
    <row r="34" spans="1:9" ht="33.75" customHeight="1">
      <c r="A34" s="26"/>
      <c r="B34" s="43"/>
      <c r="C34" s="43"/>
      <c r="D34" s="43"/>
      <c r="E34" s="20" t="s">
        <v>31</v>
      </c>
      <c r="F34" s="20"/>
      <c r="G34" s="18" t="s">
        <v>12</v>
      </c>
      <c r="H34" s="18"/>
      <c r="I34" s="7">
        <f>427600.29/12</f>
        <v>35633.357499999998</v>
      </c>
    </row>
    <row r="35" spans="1:9" ht="30.75" customHeight="1">
      <c r="A35" s="26"/>
      <c r="B35" s="43"/>
      <c r="C35" s="43"/>
      <c r="D35" s="43"/>
      <c r="E35" s="20" t="s">
        <v>32</v>
      </c>
      <c r="F35" s="20"/>
      <c r="G35" s="18" t="s">
        <v>12</v>
      </c>
      <c r="H35" s="18"/>
      <c r="I35" s="7">
        <f>437307.28/12</f>
        <v>36442.273333333338</v>
      </c>
    </row>
    <row r="36" spans="1:9" ht="35.25" customHeight="1">
      <c r="A36" s="26">
        <v>6</v>
      </c>
      <c r="B36" s="42" t="s">
        <v>34</v>
      </c>
      <c r="C36" s="42"/>
      <c r="D36" s="42"/>
      <c r="E36" s="29" t="s">
        <v>39</v>
      </c>
      <c r="F36" s="29"/>
      <c r="G36" s="16" t="s">
        <v>10</v>
      </c>
      <c r="H36" s="16"/>
      <c r="I36" s="7">
        <f>674987.29/12</f>
        <v>56248.940833333334</v>
      </c>
    </row>
    <row r="37" spans="1:9" ht="33.75" customHeight="1">
      <c r="A37" s="26"/>
      <c r="B37" s="42"/>
      <c r="C37" s="42"/>
      <c r="D37" s="42"/>
      <c r="E37" s="29" t="s">
        <v>35</v>
      </c>
      <c r="F37" s="29"/>
      <c r="G37" s="18" t="s">
        <v>12</v>
      </c>
      <c r="H37" s="18"/>
      <c r="I37" s="7">
        <f>519145.96/12</f>
        <v>43262.163333333338</v>
      </c>
    </row>
    <row r="38" spans="1:9" ht="33.75" customHeight="1">
      <c r="A38" s="26"/>
      <c r="B38" s="42"/>
      <c r="C38" s="42"/>
      <c r="D38" s="42"/>
      <c r="E38" s="20" t="s">
        <v>36</v>
      </c>
      <c r="F38" s="20"/>
      <c r="G38" s="18" t="s">
        <v>12</v>
      </c>
      <c r="H38" s="18"/>
      <c r="I38" s="7">
        <f>564577.87/12</f>
        <v>47048.155833333331</v>
      </c>
    </row>
    <row r="39" spans="1:9" ht="33.75" customHeight="1">
      <c r="A39" s="26"/>
      <c r="B39" s="42"/>
      <c r="C39" s="42"/>
      <c r="D39" s="42"/>
      <c r="E39" s="20" t="s">
        <v>37</v>
      </c>
      <c r="F39" s="20"/>
      <c r="G39" s="18" t="s">
        <v>12</v>
      </c>
      <c r="H39" s="18"/>
      <c r="I39" s="7">
        <f>533553.19/12</f>
        <v>44462.765833333331</v>
      </c>
    </row>
    <row r="40" spans="1:9" ht="33.75" customHeight="1">
      <c r="A40" s="26"/>
      <c r="B40" s="42"/>
      <c r="C40" s="42"/>
      <c r="D40" s="42"/>
      <c r="E40" s="20" t="s">
        <v>38</v>
      </c>
      <c r="F40" s="20"/>
      <c r="G40" s="18" t="s">
        <v>12</v>
      </c>
      <c r="H40" s="18"/>
      <c r="I40" s="7">
        <f>532075.78/12</f>
        <v>44339.648333333338</v>
      </c>
    </row>
    <row r="41" spans="1:9" ht="28.5" customHeight="1">
      <c r="A41" s="26"/>
      <c r="B41" s="42"/>
      <c r="C41" s="42"/>
      <c r="D41" s="42"/>
      <c r="E41" s="20" t="s">
        <v>40</v>
      </c>
      <c r="F41" s="20"/>
      <c r="G41" s="18" t="s">
        <v>12</v>
      </c>
      <c r="H41" s="18"/>
      <c r="I41" s="7">
        <f>558747.06/12</f>
        <v>46562.255000000005</v>
      </c>
    </row>
    <row r="42" spans="1:9" ht="43.5" customHeight="1">
      <c r="A42" s="26"/>
      <c r="B42" s="42"/>
      <c r="C42" s="42"/>
      <c r="D42" s="42"/>
      <c r="E42" s="18" t="s">
        <v>42</v>
      </c>
      <c r="F42" s="18"/>
      <c r="G42" s="18" t="s">
        <v>41</v>
      </c>
      <c r="H42" s="18"/>
      <c r="I42" s="7">
        <f>469911/12</f>
        <v>39159.25</v>
      </c>
    </row>
    <row r="43" spans="1:9" ht="32.25" customHeight="1">
      <c r="A43" s="26">
        <v>7</v>
      </c>
      <c r="B43" s="39" t="s">
        <v>43</v>
      </c>
      <c r="C43" s="39"/>
      <c r="D43" s="39"/>
      <c r="E43" s="29" t="s">
        <v>44</v>
      </c>
      <c r="F43" s="29"/>
      <c r="G43" s="16" t="s">
        <v>10</v>
      </c>
      <c r="H43" s="16"/>
      <c r="I43" s="7">
        <f>516386.14/12</f>
        <v>43032.178333333337</v>
      </c>
    </row>
    <row r="44" spans="1:9" ht="32.25" customHeight="1">
      <c r="A44" s="26"/>
      <c r="B44" s="39"/>
      <c r="C44" s="39"/>
      <c r="D44" s="39"/>
      <c r="E44" s="29" t="s">
        <v>132</v>
      </c>
      <c r="F44" s="29"/>
      <c r="G44" s="18" t="s">
        <v>47</v>
      </c>
      <c r="H44" s="18"/>
      <c r="I44" s="7">
        <f>132063.46/4</f>
        <v>33015.864999999998</v>
      </c>
    </row>
    <row r="45" spans="1:9" ht="27.75" customHeight="1">
      <c r="A45" s="26"/>
      <c r="B45" s="39"/>
      <c r="C45" s="39"/>
      <c r="D45" s="39"/>
      <c r="E45" s="77" t="s">
        <v>133</v>
      </c>
      <c r="F45" s="78"/>
      <c r="G45" s="18" t="s">
        <v>47</v>
      </c>
      <c r="H45" s="18"/>
      <c r="I45" s="7">
        <f>119129.11/4</f>
        <v>29782.2775</v>
      </c>
    </row>
    <row r="46" spans="1:9" ht="35.25" customHeight="1">
      <c r="A46" s="26"/>
      <c r="B46" s="39"/>
      <c r="C46" s="39"/>
      <c r="D46" s="39"/>
      <c r="E46" s="29" t="s">
        <v>46</v>
      </c>
      <c r="F46" s="29"/>
      <c r="G46" s="18" t="s">
        <v>47</v>
      </c>
      <c r="H46" s="18"/>
      <c r="I46" s="7">
        <f>346138.44/12</f>
        <v>28844.87</v>
      </c>
    </row>
    <row r="47" spans="1:9" ht="32.25" customHeight="1">
      <c r="A47" s="26">
        <v>8</v>
      </c>
      <c r="B47" s="38" t="s">
        <v>48</v>
      </c>
      <c r="C47" s="38"/>
      <c r="D47" s="38"/>
      <c r="E47" s="20" t="s">
        <v>123</v>
      </c>
      <c r="F47" s="20"/>
      <c r="G47" s="16" t="s">
        <v>10</v>
      </c>
      <c r="H47" s="16"/>
      <c r="I47" s="7">
        <f>285126.56/6</f>
        <v>47521.093333333331</v>
      </c>
    </row>
    <row r="48" spans="1:9" ht="33.75" customHeight="1">
      <c r="A48" s="26"/>
      <c r="B48" s="38"/>
      <c r="C48" s="38"/>
      <c r="D48" s="38"/>
      <c r="E48" s="20" t="s">
        <v>49</v>
      </c>
      <c r="F48" s="20"/>
      <c r="G48" s="18" t="s">
        <v>47</v>
      </c>
      <c r="H48" s="18"/>
      <c r="I48" s="7">
        <f>507254.7/12</f>
        <v>42271.224999999999</v>
      </c>
    </row>
    <row r="49" spans="1:9" ht="33.75" customHeight="1">
      <c r="A49" s="26"/>
      <c r="B49" s="38"/>
      <c r="C49" s="38"/>
      <c r="D49" s="38"/>
      <c r="E49" s="20" t="s">
        <v>51</v>
      </c>
      <c r="F49" s="20"/>
      <c r="G49" s="18" t="s">
        <v>47</v>
      </c>
      <c r="H49" s="18"/>
      <c r="I49" s="7">
        <f>590386.9/12</f>
        <v>49198.908333333333</v>
      </c>
    </row>
    <row r="50" spans="1:9" ht="33.75" customHeight="1">
      <c r="A50" s="26"/>
      <c r="B50" s="38"/>
      <c r="C50" s="38"/>
      <c r="D50" s="38"/>
      <c r="E50" s="20" t="s">
        <v>52</v>
      </c>
      <c r="F50" s="20"/>
      <c r="G50" s="18" t="s">
        <v>47</v>
      </c>
      <c r="H50" s="18"/>
      <c r="I50" s="7">
        <f>533141.48/12</f>
        <v>44428.456666666665</v>
      </c>
    </row>
    <row r="51" spans="1:9" ht="33.75" customHeight="1">
      <c r="A51" s="26"/>
      <c r="B51" s="38"/>
      <c r="C51" s="38"/>
      <c r="D51" s="38"/>
      <c r="E51" s="20" t="s">
        <v>53</v>
      </c>
      <c r="F51" s="20"/>
      <c r="G51" s="18" t="s">
        <v>47</v>
      </c>
      <c r="H51" s="18"/>
      <c r="I51" s="7">
        <f>616064.23/12</f>
        <v>51338.685833333329</v>
      </c>
    </row>
    <row r="52" spans="1:9" ht="44.25" customHeight="1">
      <c r="A52" s="26"/>
      <c r="B52" s="38"/>
      <c r="C52" s="38"/>
      <c r="D52" s="38"/>
      <c r="E52" s="16" t="s">
        <v>125</v>
      </c>
      <c r="F52" s="16"/>
      <c r="G52" s="18" t="s">
        <v>54</v>
      </c>
      <c r="H52" s="18"/>
      <c r="I52" s="7">
        <f>410252/12</f>
        <v>34187.666666666664</v>
      </c>
    </row>
    <row r="53" spans="1:9" ht="28.5" customHeight="1">
      <c r="A53" s="26">
        <v>9</v>
      </c>
      <c r="B53" s="37" t="s">
        <v>55</v>
      </c>
      <c r="C53" s="37"/>
      <c r="D53" s="37"/>
      <c r="E53" s="20" t="s">
        <v>57</v>
      </c>
      <c r="F53" s="20"/>
      <c r="G53" s="16" t="s">
        <v>10</v>
      </c>
      <c r="H53" s="16"/>
      <c r="I53" s="7">
        <f>575632.57/12</f>
        <v>47969.380833333329</v>
      </c>
    </row>
    <row r="54" spans="1:9" ht="33" customHeight="1">
      <c r="A54" s="26"/>
      <c r="B54" s="37"/>
      <c r="C54" s="37"/>
      <c r="D54" s="37"/>
      <c r="E54" s="20" t="s">
        <v>58</v>
      </c>
      <c r="F54" s="20"/>
      <c r="G54" s="18" t="s">
        <v>47</v>
      </c>
      <c r="H54" s="18"/>
      <c r="I54" s="7">
        <f>425165.58/12</f>
        <v>35430.465000000004</v>
      </c>
    </row>
    <row r="55" spans="1:9" ht="33.75" customHeight="1">
      <c r="A55" s="26"/>
      <c r="B55" s="37"/>
      <c r="C55" s="37"/>
      <c r="D55" s="37"/>
      <c r="E55" s="20" t="s">
        <v>56</v>
      </c>
      <c r="F55" s="20"/>
      <c r="G55" s="18" t="s">
        <v>47</v>
      </c>
      <c r="H55" s="18"/>
      <c r="I55" s="7">
        <f>498150.2/12</f>
        <v>41512.51666666667</v>
      </c>
    </row>
    <row r="56" spans="1:9" ht="40.5" customHeight="1">
      <c r="A56" s="26">
        <v>10</v>
      </c>
      <c r="B56" s="36" t="s">
        <v>59</v>
      </c>
      <c r="C56" s="36"/>
      <c r="D56" s="36"/>
      <c r="E56" s="29" t="s">
        <v>60</v>
      </c>
      <c r="F56" s="29"/>
      <c r="G56" s="16" t="s">
        <v>10</v>
      </c>
      <c r="H56" s="16"/>
      <c r="I56" s="7">
        <f>567290.77/12</f>
        <v>47274.230833333335</v>
      </c>
    </row>
    <row r="57" spans="1:9" ht="33.75" customHeight="1">
      <c r="A57" s="26"/>
      <c r="B57" s="36"/>
      <c r="C57" s="36"/>
      <c r="D57" s="36"/>
      <c r="E57" s="29" t="s">
        <v>134</v>
      </c>
      <c r="F57" s="29"/>
      <c r="G57" s="18" t="s">
        <v>47</v>
      </c>
      <c r="H57" s="18"/>
      <c r="I57" s="7">
        <f>403617.21/11</f>
        <v>36692.47363636364</v>
      </c>
    </row>
    <row r="58" spans="1:9" ht="33.75" customHeight="1">
      <c r="A58" s="26"/>
      <c r="B58" s="36"/>
      <c r="C58" s="36"/>
      <c r="D58" s="36"/>
      <c r="E58" s="20" t="s">
        <v>135</v>
      </c>
      <c r="F58" s="20"/>
      <c r="G58" s="18" t="s">
        <v>47</v>
      </c>
      <c r="H58" s="18"/>
      <c r="I58" s="7">
        <f>138248.37/4</f>
        <v>34562.092499999999</v>
      </c>
    </row>
    <row r="59" spans="1:9" ht="35.25" customHeight="1">
      <c r="A59" s="26">
        <v>11</v>
      </c>
      <c r="B59" s="35" t="s">
        <v>63</v>
      </c>
      <c r="C59" s="35"/>
      <c r="D59" s="35"/>
      <c r="E59" s="20" t="s">
        <v>64</v>
      </c>
      <c r="F59" s="20"/>
      <c r="G59" s="16" t="s">
        <v>10</v>
      </c>
      <c r="H59" s="16"/>
      <c r="I59" s="7">
        <f>560698.42/12</f>
        <v>46724.868333333339</v>
      </c>
    </row>
    <row r="60" spans="1:9" ht="33.75" customHeight="1">
      <c r="A60" s="26"/>
      <c r="B60" s="35"/>
      <c r="C60" s="35"/>
      <c r="D60" s="35"/>
      <c r="E60" s="20" t="s">
        <v>65</v>
      </c>
      <c r="F60" s="20"/>
      <c r="G60" s="18" t="s">
        <v>47</v>
      </c>
      <c r="H60" s="18"/>
      <c r="I60" s="7">
        <f>405122.85/12</f>
        <v>33760.237499999996</v>
      </c>
    </row>
    <row r="61" spans="1:9" ht="33.75" customHeight="1">
      <c r="A61" s="26"/>
      <c r="B61" s="35"/>
      <c r="C61" s="35"/>
      <c r="D61" s="35"/>
      <c r="E61" s="20" t="s">
        <v>66</v>
      </c>
      <c r="F61" s="20"/>
      <c r="G61" s="18" t="s">
        <v>47</v>
      </c>
      <c r="H61" s="18"/>
      <c r="I61" s="7">
        <f>504929.2/12</f>
        <v>42077.433333333334</v>
      </c>
    </row>
    <row r="62" spans="1:9" ht="39" customHeight="1">
      <c r="A62" s="26">
        <v>12</v>
      </c>
      <c r="B62" s="34" t="s">
        <v>67</v>
      </c>
      <c r="C62" s="34"/>
      <c r="D62" s="34"/>
      <c r="E62" s="20" t="s">
        <v>68</v>
      </c>
      <c r="F62" s="20"/>
      <c r="G62" s="16" t="s">
        <v>10</v>
      </c>
      <c r="H62" s="16"/>
      <c r="I62" s="7">
        <f>353652.5/12</f>
        <v>29471.041666666668</v>
      </c>
    </row>
    <row r="63" spans="1:9" ht="33.75" customHeight="1">
      <c r="A63" s="26"/>
      <c r="B63" s="34"/>
      <c r="C63" s="34"/>
      <c r="D63" s="34"/>
      <c r="E63" s="20" t="s">
        <v>69</v>
      </c>
      <c r="F63" s="20"/>
      <c r="G63" s="18" t="s">
        <v>47</v>
      </c>
      <c r="H63" s="18"/>
      <c r="I63" s="7">
        <f>239240.4/11</f>
        <v>21749.127272727274</v>
      </c>
    </row>
    <row r="64" spans="1:9" ht="33.75" customHeight="1">
      <c r="A64" s="26"/>
      <c r="B64" s="34"/>
      <c r="C64" s="34"/>
      <c r="D64" s="34"/>
      <c r="E64" s="20" t="s">
        <v>136</v>
      </c>
      <c r="F64" s="20"/>
      <c r="G64" s="18" t="s">
        <v>47</v>
      </c>
      <c r="H64" s="18"/>
      <c r="I64" s="7">
        <f>143874.79/4</f>
        <v>35968.697500000002</v>
      </c>
    </row>
    <row r="65" spans="1:9" ht="31.5" customHeight="1">
      <c r="A65" s="26">
        <v>13</v>
      </c>
      <c r="B65" s="33" t="s">
        <v>71</v>
      </c>
      <c r="C65" s="33"/>
      <c r="D65" s="33"/>
      <c r="E65" s="20" t="s">
        <v>72</v>
      </c>
      <c r="F65" s="20"/>
      <c r="G65" s="16" t="s">
        <v>10</v>
      </c>
      <c r="H65" s="16"/>
      <c r="I65" s="7">
        <f>611552.28/12</f>
        <v>50962.69</v>
      </c>
    </row>
    <row r="66" spans="1:9" ht="33.75" customHeight="1">
      <c r="A66" s="26"/>
      <c r="B66" s="33"/>
      <c r="C66" s="33"/>
      <c r="D66" s="33"/>
      <c r="E66" s="20" t="s">
        <v>73</v>
      </c>
      <c r="F66" s="20"/>
      <c r="G66" s="18" t="s">
        <v>47</v>
      </c>
      <c r="H66" s="18"/>
      <c r="I66" s="7">
        <f>420365.4/12</f>
        <v>35030.450000000004</v>
      </c>
    </row>
    <row r="67" spans="1:9" ht="33.75" customHeight="1">
      <c r="A67" s="26"/>
      <c r="B67" s="33"/>
      <c r="C67" s="33"/>
      <c r="D67" s="33"/>
      <c r="E67" s="20" t="s">
        <v>74</v>
      </c>
      <c r="F67" s="20"/>
      <c r="G67" s="18" t="s">
        <v>47</v>
      </c>
      <c r="H67" s="18"/>
      <c r="I67" s="7">
        <f>439829.31/12</f>
        <v>36652.442499999997</v>
      </c>
    </row>
    <row r="68" spans="1:9" ht="33.75" customHeight="1">
      <c r="A68" s="26"/>
      <c r="B68" s="33"/>
      <c r="C68" s="33"/>
      <c r="D68" s="33"/>
      <c r="E68" s="20" t="s">
        <v>75</v>
      </c>
      <c r="F68" s="20"/>
      <c r="G68" s="18" t="s">
        <v>47</v>
      </c>
      <c r="H68" s="18"/>
      <c r="I68" s="7">
        <f>267854.37/12</f>
        <v>22321.197499999998</v>
      </c>
    </row>
    <row r="69" spans="1:9" ht="35.25" customHeight="1">
      <c r="A69" s="26">
        <v>14</v>
      </c>
      <c r="B69" s="17" t="s">
        <v>76</v>
      </c>
      <c r="C69" s="17"/>
      <c r="D69" s="17"/>
      <c r="E69" s="20" t="s">
        <v>77</v>
      </c>
      <c r="F69" s="20"/>
      <c r="G69" s="16" t="s">
        <v>10</v>
      </c>
      <c r="H69" s="16"/>
      <c r="I69" s="7">
        <f>818185.78/12</f>
        <v>68182.148333333331</v>
      </c>
    </row>
    <row r="70" spans="1:9" ht="33.75" customHeight="1">
      <c r="A70" s="26"/>
      <c r="B70" s="17"/>
      <c r="C70" s="17"/>
      <c r="D70" s="17"/>
      <c r="E70" s="20" t="s">
        <v>78</v>
      </c>
      <c r="F70" s="20"/>
      <c r="G70" s="18" t="s">
        <v>47</v>
      </c>
      <c r="H70" s="18"/>
      <c r="I70" s="7">
        <f>598588.47/12</f>
        <v>49882.372499999998</v>
      </c>
    </row>
    <row r="71" spans="1:9" ht="30" customHeight="1">
      <c r="A71" s="26"/>
      <c r="B71" s="17"/>
      <c r="C71" s="17"/>
      <c r="D71" s="17"/>
      <c r="E71" s="32" t="s">
        <v>80</v>
      </c>
      <c r="F71" s="32"/>
      <c r="G71" s="18" t="s">
        <v>47</v>
      </c>
      <c r="H71" s="18"/>
      <c r="I71" s="7">
        <f>443915.17/12</f>
        <v>36992.930833333332</v>
      </c>
    </row>
    <row r="72" spans="1:9" ht="36.75" customHeight="1">
      <c r="A72" s="26">
        <v>15</v>
      </c>
      <c r="B72" s="17" t="s">
        <v>81</v>
      </c>
      <c r="C72" s="17"/>
      <c r="D72" s="17"/>
      <c r="E72" s="20" t="s">
        <v>82</v>
      </c>
      <c r="F72" s="20"/>
      <c r="G72" s="16" t="s">
        <v>10</v>
      </c>
      <c r="H72" s="16"/>
      <c r="I72" s="7">
        <f>568573.62/12</f>
        <v>47381.135000000002</v>
      </c>
    </row>
    <row r="73" spans="1:9" ht="35.25" customHeight="1">
      <c r="A73" s="26"/>
      <c r="B73" s="17"/>
      <c r="C73" s="17"/>
      <c r="D73" s="17"/>
      <c r="E73" s="20" t="s">
        <v>83</v>
      </c>
      <c r="F73" s="20"/>
      <c r="G73" s="18" t="s">
        <v>47</v>
      </c>
      <c r="H73" s="18"/>
      <c r="I73" s="7">
        <f>420580.68/12</f>
        <v>35048.39</v>
      </c>
    </row>
    <row r="74" spans="1:9" ht="35.25" customHeight="1">
      <c r="A74" s="26"/>
      <c r="B74" s="17"/>
      <c r="C74" s="17"/>
      <c r="D74" s="17"/>
      <c r="E74" s="20" t="s">
        <v>84</v>
      </c>
      <c r="F74" s="20"/>
      <c r="G74" s="18" t="s">
        <v>47</v>
      </c>
      <c r="H74" s="18"/>
      <c r="I74" s="7">
        <f>456200.75/12</f>
        <v>38016.729166666664</v>
      </c>
    </row>
    <row r="75" spans="1:9" ht="33.75" customHeight="1">
      <c r="A75" s="26"/>
      <c r="B75" s="17"/>
      <c r="C75" s="17"/>
      <c r="D75" s="17"/>
      <c r="E75" s="20" t="s">
        <v>85</v>
      </c>
      <c r="F75" s="20"/>
      <c r="G75" s="18" t="s">
        <v>47</v>
      </c>
      <c r="H75" s="18"/>
      <c r="I75" s="7">
        <f>358796.58/12</f>
        <v>29899.715</v>
      </c>
    </row>
    <row r="76" spans="1:9" ht="35.25" customHeight="1">
      <c r="A76" s="26">
        <v>16</v>
      </c>
      <c r="B76" s="17" t="s">
        <v>86</v>
      </c>
      <c r="C76" s="17"/>
      <c r="D76" s="17"/>
      <c r="E76" s="31" t="s">
        <v>88</v>
      </c>
      <c r="F76" s="31"/>
      <c r="G76" s="16" t="s">
        <v>10</v>
      </c>
      <c r="H76" s="16"/>
      <c r="I76" s="7">
        <f>140783.42/4</f>
        <v>35195.855000000003</v>
      </c>
    </row>
    <row r="77" spans="1:9" ht="36.75" customHeight="1">
      <c r="A77" s="26"/>
      <c r="B77" s="17"/>
      <c r="C77" s="17"/>
      <c r="D77" s="17"/>
      <c r="E77" s="31" t="s">
        <v>137</v>
      </c>
      <c r="F77" s="31"/>
      <c r="G77" s="18" t="s">
        <v>47</v>
      </c>
      <c r="H77" s="18"/>
      <c r="I77" s="7">
        <f>121577/4</f>
        <v>30394.25</v>
      </c>
    </row>
    <row r="78" spans="1:9" ht="38.25" customHeight="1">
      <c r="A78" s="26">
        <v>17</v>
      </c>
      <c r="B78" s="17" t="s">
        <v>89</v>
      </c>
      <c r="C78" s="17"/>
      <c r="D78" s="17"/>
      <c r="E78" s="30" t="s">
        <v>90</v>
      </c>
      <c r="F78" s="30"/>
      <c r="G78" s="16" t="s">
        <v>10</v>
      </c>
      <c r="H78" s="16"/>
      <c r="I78" s="7">
        <f>574415.43/12</f>
        <v>47867.952500000007</v>
      </c>
    </row>
    <row r="79" spans="1:9" ht="33.75" customHeight="1">
      <c r="A79" s="26"/>
      <c r="B79" s="17"/>
      <c r="C79" s="17"/>
      <c r="D79" s="17"/>
      <c r="E79" s="30" t="s">
        <v>91</v>
      </c>
      <c r="F79" s="30"/>
      <c r="G79" s="18" t="s">
        <v>47</v>
      </c>
      <c r="H79" s="18"/>
      <c r="I79" s="7">
        <f>525993.19/12</f>
        <v>43832.765833333331</v>
      </c>
    </row>
    <row r="80" spans="1:9" ht="33.75" customHeight="1">
      <c r="A80" s="26"/>
      <c r="B80" s="17"/>
      <c r="C80" s="17"/>
      <c r="D80" s="17"/>
      <c r="E80" s="30" t="s">
        <v>92</v>
      </c>
      <c r="F80" s="30"/>
      <c r="G80" s="18" t="s">
        <v>47</v>
      </c>
      <c r="H80" s="18"/>
      <c r="I80" s="7">
        <f>533045.24/12</f>
        <v>44420.436666666668</v>
      </c>
    </row>
    <row r="81" spans="1:9" ht="33.75" customHeight="1">
      <c r="A81" s="26"/>
      <c r="B81" s="17"/>
      <c r="C81" s="17"/>
      <c r="D81" s="17"/>
      <c r="E81" s="27" t="s">
        <v>93</v>
      </c>
      <c r="F81" s="27"/>
      <c r="G81" s="18" t="s">
        <v>47</v>
      </c>
      <c r="H81" s="18"/>
      <c r="I81" s="7">
        <f>412965.06/12</f>
        <v>34413.754999999997</v>
      </c>
    </row>
    <row r="82" spans="1:9" ht="37.5" customHeight="1">
      <c r="A82" s="26">
        <v>18</v>
      </c>
      <c r="B82" s="14" t="s">
        <v>94</v>
      </c>
      <c r="C82" s="14"/>
      <c r="D82" s="14"/>
      <c r="E82" s="29" t="s">
        <v>95</v>
      </c>
      <c r="F82" s="29"/>
      <c r="G82" s="16" t="s">
        <v>10</v>
      </c>
      <c r="H82" s="16"/>
      <c r="I82" s="7">
        <f>440842.94/12</f>
        <v>36736.911666666667</v>
      </c>
    </row>
    <row r="83" spans="1:9" ht="33.75" customHeight="1">
      <c r="A83" s="26"/>
      <c r="B83" s="14"/>
      <c r="C83" s="14"/>
      <c r="D83" s="14"/>
      <c r="E83" s="29" t="s">
        <v>96</v>
      </c>
      <c r="F83" s="29"/>
      <c r="G83" s="18" t="s">
        <v>47</v>
      </c>
      <c r="H83" s="18"/>
      <c r="I83" s="7">
        <f>378643.3/12</f>
        <v>31553.608333333334</v>
      </c>
    </row>
    <row r="84" spans="1:9" ht="33.75" customHeight="1">
      <c r="A84" s="26"/>
      <c r="B84" s="14"/>
      <c r="C84" s="14"/>
      <c r="D84" s="14"/>
      <c r="E84" s="29" t="s">
        <v>97</v>
      </c>
      <c r="F84" s="29"/>
      <c r="G84" s="18" t="s">
        <v>47</v>
      </c>
      <c r="H84" s="18"/>
      <c r="I84" s="7">
        <f>444341.67/12</f>
        <v>37028.472499999996</v>
      </c>
    </row>
    <row r="85" spans="1:9" ht="34.5" customHeight="1">
      <c r="A85" s="26">
        <v>19</v>
      </c>
      <c r="B85" s="17" t="s">
        <v>98</v>
      </c>
      <c r="C85" s="17"/>
      <c r="D85" s="17"/>
      <c r="E85" s="20" t="s">
        <v>99</v>
      </c>
      <c r="F85" s="20"/>
      <c r="G85" s="16" t="s">
        <v>10</v>
      </c>
      <c r="H85" s="16"/>
      <c r="I85" s="7">
        <f>394200.99/12</f>
        <v>32850.082499999997</v>
      </c>
    </row>
    <row r="86" spans="1:9" ht="36" customHeight="1">
      <c r="A86" s="26"/>
      <c r="B86" s="17"/>
      <c r="C86" s="17"/>
      <c r="D86" s="17"/>
      <c r="E86" s="20" t="s">
        <v>138</v>
      </c>
      <c r="F86" s="20"/>
      <c r="G86" s="18" t="s">
        <v>47</v>
      </c>
      <c r="H86" s="18"/>
      <c r="I86" s="7">
        <f>87087.89/4</f>
        <v>21771.9725</v>
      </c>
    </row>
    <row r="87" spans="1:9" s="6" customFormat="1" ht="33" customHeight="1">
      <c r="A87" s="28">
        <v>20</v>
      </c>
      <c r="B87" s="14" t="s">
        <v>102</v>
      </c>
      <c r="C87" s="14"/>
      <c r="D87" s="14"/>
      <c r="E87" s="29" t="s">
        <v>103</v>
      </c>
      <c r="F87" s="29"/>
      <c r="G87" s="13" t="s">
        <v>10</v>
      </c>
      <c r="H87" s="13"/>
      <c r="I87" s="10">
        <f>462802.07/12</f>
        <v>38566.839166666665</v>
      </c>
    </row>
    <row r="88" spans="1:9" s="6" customFormat="1" ht="33.75" customHeight="1">
      <c r="A88" s="28"/>
      <c r="B88" s="14"/>
      <c r="C88" s="14"/>
      <c r="D88" s="14"/>
      <c r="E88" s="29" t="s">
        <v>139</v>
      </c>
      <c r="F88" s="29"/>
      <c r="G88" s="15" t="s">
        <v>47</v>
      </c>
      <c r="H88" s="15"/>
      <c r="I88" s="10">
        <f>61025.44/2</f>
        <v>30512.720000000001</v>
      </c>
    </row>
    <row r="89" spans="1:9" s="6" customFormat="1" ht="33.75" customHeight="1">
      <c r="A89" s="28"/>
      <c r="B89" s="14"/>
      <c r="C89" s="14"/>
      <c r="D89" s="14"/>
      <c r="E89" s="29" t="s">
        <v>140</v>
      </c>
      <c r="F89" s="29"/>
      <c r="G89" s="15" t="s">
        <v>47</v>
      </c>
      <c r="H89" s="15"/>
      <c r="I89" s="10">
        <f>181649/6</f>
        <v>30274.833333333332</v>
      </c>
    </row>
    <row r="90" spans="1:9" ht="39" customHeight="1">
      <c r="A90" s="26">
        <v>21</v>
      </c>
      <c r="B90" s="17" t="s">
        <v>106</v>
      </c>
      <c r="C90" s="17"/>
      <c r="D90" s="17"/>
      <c r="E90" s="20" t="s">
        <v>107</v>
      </c>
      <c r="F90" s="20"/>
      <c r="G90" s="16" t="s">
        <v>10</v>
      </c>
      <c r="H90" s="16"/>
      <c r="I90" s="7">
        <f>478872.52/12</f>
        <v>39906.043333333335</v>
      </c>
    </row>
    <row r="91" spans="1:9" ht="36" customHeight="1">
      <c r="A91" s="26"/>
      <c r="B91" s="17"/>
      <c r="C91" s="17"/>
      <c r="D91" s="17"/>
      <c r="E91" s="27" t="s">
        <v>109</v>
      </c>
      <c r="F91" s="27"/>
      <c r="G91" s="18" t="s">
        <v>47</v>
      </c>
      <c r="H91" s="18"/>
      <c r="I91" s="7">
        <f>327684.72/12</f>
        <v>27307.059999999998</v>
      </c>
    </row>
    <row r="92" spans="1:9" ht="33.75" customHeight="1">
      <c r="A92" s="26"/>
      <c r="B92" s="17"/>
      <c r="C92" s="17"/>
      <c r="D92" s="17"/>
      <c r="E92" s="20" t="s">
        <v>141</v>
      </c>
      <c r="F92" s="20"/>
      <c r="G92" s="18" t="s">
        <v>47</v>
      </c>
      <c r="H92" s="18"/>
      <c r="I92" s="7">
        <f>94374.94/4</f>
        <v>23593.735000000001</v>
      </c>
    </row>
    <row r="93" spans="1:9" ht="34.5" customHeight="1">
      <c r="A93" s="26">
        <v>22</v>
      </c>
      <c r="B93" s="17" t="s">
        <v>110</v>
      </c>
      <c r="C93" s="17"/>
      <c r="D93" s="17"/>
      <c r="E93" s="20" t="s">
        <v>111</v>
      </c>
      <c r="F93" s="20"/>
      <c r="G93" s="16" t="s">
        <v>10</v>
      </c>
      <c r="H93" s="16"/>
      <c r="I93" s="7">
        <f>471647.01/12</f>
        <v>39303.917500000003</v>
      </c>
    </row>
    <row r="94" spans="1:9" ht="33.75" customHeight="1">
      <c r="A94" s="26"/>
      <c r="B94" s="17"/>
      <c r="C94" s="17"/>
      <c r="D94" s="17"/>
      <c r="E94" s="20" t="s">
        <v>112</v>
      </c>
      <c r="F94" s="20"/>
      <c r="G94" s="18" t="s">
        <v>47</v>
      </c>
      <c r="H94" s="18"/>
      <c r="I94" s="7">
        <f>530561.38/12</f>
        <v>44213.448333333334</v>
      </c>
    </row>
    <row r="95" spans="1:9" ht="33.75" customHeight="1">
      <c r="A95" s="26"/>
      <c r="B95" s="17"/>
      <c r="C95" s="17"/>
      <c r="D95" s="17"/>
      <c r="E95" s="20" t="s">
        <v>113</v>
      </c>
      <c r="F95" s="20"/>
      <c r="G95" s="18" t="s">
        <v>47</v>
      </c>
      <c r="H95" s="18"/>
      <c r="I95" s="7">
        <f>466254.75/12</f>
        <v>38854.5625</v>
      </c>
    </row>
    <row r="96" spans="1:9" ht="53.25" customHeight="1">
      <c r="A96" s="11">
        <v>23</v>
      </c>
      <c r="B96" s="19" t="s">
        <v>114</v>
      </c>
      <c r="C96" s="19"/>
      <c r="D96" s="19"/>
      <c r="E96" s="20" t="s">
        <v>115</v>
      </c>
      <c r="F96" s="20"/>
      <c r="G96" s="16" t="s">
        <v>10</v>
      </c>
      <c r="H96" s="16"/>
      <c r="I96" s="7">
        <f>393524.16/12</f>
        <v>32793.68</v>
      </c>
    </row>
    <row r="97" spans="1:9" ht="53.25" customHeight="1">
      <c r="A97" s="11">
        <v>24</v>
      </c>
      <c r="B97" s="21" t="s">
        <v>142</v>
      </c>
      <c r="C97" s="22"/>
      <c r="D97" s="23"/>
      <c r="E97" s="24" t="s">
        <v>143</v>
      </c>
      <c r="F97" s="25"/>
      <c r="G97" s="16" t="s">
        <v>10</v>
      </c>
      <c r="H97" s="16"/>
      <c r="I97" s="7">
        <f>123179.86/4</f>
        <v>30794.965</v>
      </c>
    </row>
    <row r="98" spans="1:9" ht="35.25" customHeight="1">
      <c r="A98" s="16">
        <v>25</v>
      </c>
      <c r="B98" s="17" t="s">
        <v>116</v>
      </c>
      <c r="C98" s="17"/>
      <c r="D98" s="17"/>
      <c r="E98" s="18" t="s">
        <v>117</v>
      </c>
      <c r="F98" s="18"/>
      <c r="G98" s="16" t="s">
        <v>10</v>
      </c>
      <c r="H98" s="16"/>
      <c r="I98" s="7">
        <f>526175.33/12</f>
        <v>43847.944166666661</v>
      </c>
    </row>
    <row r="99" spans="1:9" ht="28.5" customHeight="1">
      <c r="A99" s="16"/>
      <c r="B99" s="17"/>
      <c r="C99" s="17"/>
      <c r="D99" s="17"/>
      <c r="E99" s="18" t="s">
        <v>118</v>
      </c>
      <c r="F99" s="18"/>
      <c r="G99" s="18" t="s">
        <v>47</v>
      </c>
      <c r="H99" s="18"/>
      <c r="I99" s="7">
        <f>367935.6/12</f>
        <v>30661.3</v>
      </c>
    </row>
    <row r="100" spans="1:9" s="6" customFormat="1" ht="30.75" customHeight="1">
      <c r="A100" s="13">
        <v>26</v>
      </c>
      <c r="B100" s="14" t="s">
        <v>121</v>
      </c>
      <c r="C100" s="14"/>
      <c r="D100" s="14"/>
      <c r="E100" s="15" t="s">
        <v>122</v>
      </c>
      <c r="F100" s="15"/>
      <c r="G100" s="13" t="s">
        <v>10</v>
      </c>
      <c r="H100" s="13"/>
      <c r="I100" s="10">
        <f>402173/12</f>
        <v>33514.416666666664</v>
      </c>
    </row>
    <row r="101" spans="1:9" s="6" customFormat="1" ht="30" customHeight="1">
      <c r="A101" s="13"/>
      <c r="B101" s="14"/>
      <c r="C101" s="14"/>
      <c r="D101" s="14"/>
      <c r="E101" s="15" t="s">
        <v>144</v>
      </c>
      <c r="F101" s="15"/>
      <c r="G101" s="15" t="s">
        <v>47</v>
      </c>
      <c r="H101" s="15"/>
      <c r="I101" s="10">
        <f>137545.25/4</f>
        <v>34386.3125</v>
      </c>
    </row>
    <row r="102" spans="1:9" s="6" customFormat="1" ht="30.75" customHeight="1">
      <c r="A102" s="13"/>
      <c r="B102" s="14"/>
      <c r="C102" s="14"/>
      <c r="D102" s="14"/>
      <c r="E102" s="15" t="s">
        <v>124</v>
      </c>
      <c r="F102" s="15"/>
      <c r="G102" s="15" t="s">
        <v>47</v>
      </c>
      <c r="H102" s="15"/>
      <c r="I102" s="10">
        <f>416859.42/12</f>
        <v>34738.284999999996</v>
      </c>
    </row>
    <row r="103" spans="1:9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>
      <c r="A106" s="12" t="s">
        <v>120</v>
      </c>
      <c r="B106" s="12"/>
      <c r="C106" s="12"/>
      <c r="D106" s="12"/>
      <c r="E106" s="12"/>
      <c r="F106" s="12"/>
      <c r="G106" s="12"/>
      <c r="H106" s="12"/>
      <c r="I106" s="12"/>
    </row>
    <row r="107" spans="1:9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>
      <c r="A109" s="12"/>
      <c r="B109" s="12"/>
      <c r="C109" s="12"/>
      <c r="D109" s="12"/>
      <c r="E109" s="12"/>
      <c r="F109" s="12"/>
      <c r="G109" s="12"/>
      <c r="H109" s="12"/>
      <c r="I109" s="12"/>
    </row>
  </sheetData>
  <mergeCells count="237">
    <mergeCell ref="A100:A102"/>
    <mergeCell ref="B100:D102"/>
    <mergeCell ref="E100:F100"/>
    <mergeCell ref="G100:H100"/>
    <mergeCell ref="E101:F101"/>
    <mergeCell ref="G101:H101"/>
    <mergeCell ref="E102:F102"/>
    <mergeCell ref="G102:H102"/>
    <mergeCell ref="B96:D96"/>
    <mergeCell ref="E96:F96"/>
    <mergeCell ref="G96:H96"/>
    <mergeCell ref="A98:A99"/>
    <mergeCell ref="B98:D99"/>
    <mergeCell ref="E98:F98"/>
    <mergeCell ref="G98:H98"/>
    <mergeCell ref="E99:F99"/>
    <mergeCell ref="G99:H99"/>
    <mergeCell ref="B97:D97"/>
    <mergeCell ref="E97:F97"/>
    <mergeCell ref="G97:H97"/>
    <mergeCell ref="A93:A95"/>
    <mergeCell ref="B93:D95"/>
    <mergeCell ref="E93:F93"/>
    <mergeCell ref="G93:H93"/>
    <mergeCell ref="E94:F94"/>
    <mergeCell ref="G94:H94"/>
    <mergeCell ref="E95:F95"/>
    <mergeCell ref="G95:H95"/>
    <mergeCell ref="A90:A92"/>
    <mergeCell ref="B90:D92"/>
    <mergeCell ref="E90:F90"/>
    <mergeCell ref="G90:H90"/>
    <mergeCell ref="E91:F91"/>
    <mergeCell ref="G91:H91"/>
    <mergeCell ref="E92:F92"/>
    <mergeCell ref="G92:H92"/>
    <mergeCell ref="A87:A89"/>
    <mergeCell ref="B87:D89"/>
    <mergeCell ref="E87:F87"/>
    <mergeCell ref="G87:H87"/>
    <mergeCell ref="E88:F88"/>
    <mergeCell ref="G88:H88"/>
    <mergeCell ref="E89:F89"/>
    <mergeCell ref="G89:H89"/>
    <mergeCell ref="A85:A86"/>
    <mergeCell ref="B85:D86"/>
    <mergeCell ref="E85:F85"/>
    <mergeCell ref="G85:H85"/>
    <mergeCell ref="E86:F86"/>
    <mergeCell ref="G86:H86"/>
    <mergeCell ref="A82:A84"/>
    <mergeCell ref="B82:D84"/>
    <mergeCell ref="E82:F82"/>
    <mergeCell ref="G82:H82"/>
    <mergeCell ref="E83:F83"/>
    <mergeCell ref="G83:H83"/>
    <mergeCell ref="E84:F84"/>
    <mergeCell ref="G84:H84"/>
    <mergeCell ref="A78:A81"/>
    <mergeCell ref="B78:D81"/>
    <mergeCell ref="E78:F78"/>
    <mergeCell ref="G78:H78"/>
    <mergeCell ref="E79:F79"/>
    <mergeCell ref="G79:H79"/>
    <mergeCell ref="E80:F80"/>
    <mergeCell ref="G80:H80"/>
    <mergeCell ref="E81:F81"/>
    <mergeCell ref="G81:H81"/>
    <mergeCell ref="A76:A77"/>
    <mergeCell ref="B76:D77"/>
    <mergeCell ref="E76:F76"/>
    <mergeCell ref="G76:H76"/>
    <mergeCell ref="E77:F77"/>
    <mergeCell ref="G77:H77"/>
    <mergeCell ref="A72:A75"/>
    <mergeCell ref="B72:D75"/>
    <mergeCell ref="E72:F72"/>
    <mergeCell ref="G72:H72"/>
    <mergeCell ref="E73:F73"/>
    <mergeCell ref="G73:H73"/>
    <mergeCell ref="E74:F74"/>
    <mergeCell ref="G74:H74"/>
    <mergeCell ref="E75:F75"/>
    <mergeCell ref="G75:H75"/>
    <mergeCell ref="A69:A71"/>
    <mergeCell ref="B69:D71"/>
    <mergeCell ref="E69:F69"/>
    <mergeCell ref="G69:H69"/>
    <mergeCell ref="E70:F70"/>
    <mergeCell ref="G70:H70"/>
    <mergeCell ref="E71:F71"/>
    <mergeCell ref="G71:H71"/>
    <mergeCell ref="A65:A68"/>
    <mergeCell ref="B65:D68"/>
    <mergeCell ref="E65:F65"/>
    <mergeCell ref="G65:H65"/>
    <mergeCell ref="E66:F66"/>
    <mergeCell ref="G66:H66"/>
    <mergeCell ref="E67:F67"/>
    <mergeCell ref="G67:H67"/>
    <mergeCell ref="E68:F68"/>
    <mergeCell ref="G68:H68"/>
    <mergeCell ref="A56:A58"/>
    <mergeCell ref="B56:D58"/>
    <mergeCell ref="E56:F56"/>
    <mergeCell ref="G56:H56"/>
    <mergeCell ref="E57:F57"/>
    <mergeCell ref="G57:H57"/>
    <mergeCell ref="E58:F58"/>
    <mergeCell ref="G58:H58"/>
    <mergeCell ref="A62:A64"/>
    <mergeCell ref="B62:D64"/>
    <mergeCell ref="E62:F62"/>
    <mergeCell ref="G62:H62"/>
    <mergeCell ref="E63:F63"/>
    <mergeCell ref="G63:H63"/>
    <mergeCell ref="E64:F64"/>
    <mergeCell ref="G64:H64"/>
    <mergeCell ref="A59:A61"/>
    <mergeCell ref="B59:D61"/>
    <mergeCell ref="E59:F59"/>
    <mergeCell ref="G59:H59"/>
    <mergeCell ref="E60:F60"/>
    <mergeCell ref="G60:H60"/>
    <mergeCell ref="E61:F61"/>
    <mergeCell ref="G61:H61"/>
    <mergeCell ref="E51:F51"/>
    <mergeCell ref="G51:H51"/>
    <mergeCell ref="E52:F52"/>
    <mergeCell ref="G52:H52"/>
    <mergeCell ref="A53:A55"/>
    <mergeCell ref="B53:D55"/>
    <mergeCell ref="E53:F53"/>
    <mergeCell ref="G53:H53"/>
    <mergeCell ref="E54:F54"/>
    <mergeCell ref="G54:H54"/>
    <mergeCell ref="A47:A52"/>
    <mergeCell ref="B47:D52"/>
    <mergeCell ref="E47:F47"/>
    <mergeCell ref="G47:H47"/>
    <mergeCell ref="E48:F48"/>
    <mergeCell ref="G48:H48"/>
    <mergeCell ref="E49:F49"/>
    <mergeCell ref="G49:H49"/>
    <mergeCell ref="E50:F50"/>
    <mergeCell ref="G50:H50"/>
    <mergeCell ref="E55:F55"/>
    <mergeCell ref="G55:H55"/>
    <mergeCell ref="A43:A46"/>
    <mergeCell ref="B43:D46"/>
    <mergeCell ref="E43:F43"/>
    <mergeCell ref="G43:H43"/>
    <mergeCell ref="E44:F44"/>
    <mergeCell ref="G44:H44"/>
    <mergeCell ref="E46:F46"/>
    <mergeCell ref="G46:H46"/>
    <mergeCell ref="E45:F45"/>
    <mergeCell ref="G45:H45"/>
    <mergeCell ref="E40:F40"/>
    <mergeCell ref="G40:H40"/>
    <mergeCell ref="E41:F41"/>
    <mergeCell ref="G41:H41"/>
    <mergeCell ref="E42:F42"/>
    <mergeCell ref="G42:H42"/>
    <mergeCell ref="A36:A42"/>
    <mergeCell ref="B36:D42"/>
    <mergeCell ref="E36:F36"/>
    <mergeCell ref="G36:H36"/>
    <mergeCell ref="E37:F37"/>
    <mergeCell ref="G37:H37"/>
    <mergeCell ref="E38:F38"/>
    <mergeCell ref="G38:H38"/>
    <mergeCell ref="E39:F39"/>
    <mergeCell ref="G39:H39"/>
    <mergeCell ref="A33:A35"/>
    <mergeCell ref="B33:D35"/>
    <mergeCell ref="E33:F33"/>
    <mergeCell ref="G33:H33"/>
    <mergeCell ref="E34:F34"/>
    <mergeCell ref="G34:H34"/>
    <mergeCell ref="E35:F35"/>
    <mergeCell ref="G35:H35"/>
    <mergeCell ref="A30:A32"/>
    <mergeCell ref="B30:D32"/>
    <mergeCell ref="E30:F30"/>
    <mergeCell ref="G30:H30"/>
    <mergeCell ref="E31:F31"/>
    <mergeCell ref="G31:H31"/>
    <mergeCell ref="E32:F32"/>
    <mergeCell ref="G32:H32"/>
    <mergeCell ref="A23:A29"/>
    <mergeCell ref="B23:D29"/>
    <mergeCell ref="E23:F24"/>
    <mergeCell ref="G23:H24"/>
    <mergeCell ref="I23:I24"/>
    <mergeCell ref="I13:I14"/>
    <mergeCell ref="E15:F16"/>
    <mergeCell ref="G15:H16"/>
    <mergeCell ref="I15:I16"/>
    <mergeCell ref="E17:F19"/>
    <mergeCell ref="G17:H19"/>
    <mergeCell ref="I17:I19"/>
    <mergeCell ref="E25:F27"/>
    <mergeCell ref="G25:H27"/>
    <mergeCell ref="I25:I27"/>
    <mergeCell ref="E28:F29"/>
    <mergeCell ref="G28:H29"/>
    <mergeCell ref="I28:I29"/>
    <mergeCell ref="E20:F21"/>
    <mergeCell ref="G20:H21"/>
    <mergeCell ref="I20:I21"/>
    <mergeCell ref="E22:F22"/>
    <mergeCell ref="G22:H22"/>
    <mergeCell ref="E10:F11"/>
    <mergeCell ref="G10:H11"/>
    <mergeCell ref="I10:I11"/>
    <mergeCell ref="A12:A22"/>
    <mergeCell ref="B12:D22"/>
    <mergeCell ref="E12:F12"/>
    <mergeCell ref="G12:H12"/>
    <mergeCell ref="E13:F14"/>
    <mergeCell ref="G13:H14"/>
    <mergeCell ref="A7:A11"/>
    <mergeCell ref="B7:D11"/>
    <mergeCell ref="E7:F7"/>
    <mergeCell ref="G7:H7"/>
    <mergeCell ref="E8:F9"/>
    <mergeCell ref="G8:H9"/>
    <mergeCell ref="A2:I2"/>
    <mergeCell ref="A3:I3"/>
    <mergeCell ref="A4:I4"/>
    <mergeCell ref="A5:A6"/>
    <mergeCell ref="B5:D6"/>
    <mergeCell ref="E5:F6"/>
    <mergeCell ref="G5:H6"/>
    <mergeCell ref="I5:I6"/>
    <mergeCell ref="I8:I9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8"/>
  <sheetViews>
    <sheetView topLeftCell="A6" workbookViewId="0">
      <selection activeCell="I22" sqref="I22"/>
    </sheetView>
  </sheetViews>
  <sheetFormatPr defaultRowHeight="15"/>
  <cols>
    <col min="1" max="1" width="5.42578125" customWidth="1"/>
    <col min="4" max="4" width="7.42578125" customWidth="1"/>
    <col min="5" max="5" width="13" customWidth="1"/>
    <col min="6" max="6" width="13.7109375" customWidth="1"/>
    <col min="8" max="8" width="6.140625" customWidth="1"/>
    <col min="9" max="9" width="14.28515625" customWidth="1"/>
  </cols>
  <sheetData>
    <row r="2" spans="1:9" ht="18.75">
      <c r="A2" s="91" t="s">
        <v>0</v>
      </c>
      <c r="B2" s="91"/>
      <c r="C2" s="91"/>
      <c r="D2" s="91"/>
      <c r="E2" s="91"/>
      <c r="F2" s="91"/>
      <c r="G2" s="91"/>
      <c r="H2" s="91"/>
      <c r="I2" s="91"/>
    </row>
    <row r="3" spans="1:9" ht="18.75">
      <c r="A3" s="91" t="s">
        <v>1</v>
      </c>
      <c r="B3" s="91"/>
      <c r="C3" s="91"/>
      <c r="D3" s="91"/>
      <c r="E3" s="91"/>
      <c r="F3" s="91"/>
      <c r="G3" s="91"/>
      <c r="H3" s="91"/>
      <c r="I3" s="91"/>
    </row>
    <row r="4" spans="1:9" ht="18.75">
      <c r="A4" s="91" t="s">
        <v>2</v>
      </c>
      <c r="B4" s="91"/>
      <c r="C4" s="91"/>
      <c r="D4" s="91"/>
      <c r="E4" s="91"/>
      <c r="F4" s="91"/>
      <c r="G4" s="91"/>
      <c r="H4" s="91"/>
      <c r="I4" s="91"/>
    </row>
    <row r="5" spans="1:9" ht="31.5" customHeight="1">
      <c r="A5" s="93" t="s">
        <v>7</v>
      </c>
      <c r="B5" s="92" t="s">
        <v>3</v>
      </c>
      <c r="C5" s="92"/>
      <c r="D5" s="92"/>
      <c r="E5" s="92" t="s">
        <v>4</v>
      </c>
      <c r="F5" s="92"/>
      <c r="G5" s="92" t="s">
        <v>5</v>
      </c>
      <c r="H5" s="92"/>
      <c r="I5" s="93" t="s">
        <v>6</v>
      </c>
    </row>
    <row r="6" spans="1:9" ht="27" customHeight="1">
      <c r="A6" s="93"/>
      <c r="B6" s="92"/>
      <c r="C6" s="92"/>
      <c r="D6" s="92"/>
      <c r="E6" s="92"/>
      <c r="F6" s="92"/>
      <c r="G6" s="92"/>
      <c r="H6" s="92"/>
      <c r="I6" s="93"/>
    </row>
    <row r="7" spans="1:9" ht="28.5" customHeight="1">
      <c r="A7" s="96">
        <v>1</v>
      </c>
      <c r="B7" s="95" t="s">
        <v>8</v>
      </c>
      <c r="C7" s="95"/>
      <c r="D7" s="95"/>
      <c r="E7" s="97" t="s">
        <v>9</v>
      </c>
      <c r="F7" s="97"/>
      <c r="G7" s="81" t="s">
        <v>10</v>
      </c>
      <c r="H7" s="81"/>
      <c r="I7" s="4">
        <f>552914.87/12</f>
        <v>46076.239166666666</v>
      </c>
    </row>
    <row r="8" spans="1:9" ht="15" customHeight="1">
      <c r="A8" s="96"/>
      <c r="B8" s="95"/>
      <c r="C8" s="95"/>
      <c r="D8" s="95"/>
      <c r="E8" s="89" t="s">
        <v>11</v>
      </c>
      <c r="F8" s="89"/>
      <c r="G8" s="79" t="s">
        <v>12</v>
      </c>
      <c r="H8" s="79"/>
      <c r="I8" s="94">
        <f>522708.57/12</f>
        <v>43559.047500000001</v>
      </c>
    </row>
    <row r="9" spans="1:9">
      <c r="A9" s="96"/>
      <c r="B9" s="95"/>
      <c r="C9" s="95"/>
      <c r="D9" s="95"/>
      <c r="E9" s="89"/>
      <c r="F9" s="89"/>
      <c r="G9" s="79"/>
      <c r="H9" s="79"/>
      <c r="I9" s="94"/>
    </row>
    <row r="10" spans="1:9" ht="15" customHeight="1">
      <c r="A10" s="96"/>
      <c r="B10" s="95"/>
      <c r="C10" s="95"/>
      <c r="D10" s="95"/>
      <c r="E10" s="89" t="s">
        <v>15</v>
      </c>
      <c r="F10" s="89"/>
      <c r="G10" s="79" t="s">
        <v>12</v>
      </c>
      <c r="H10" s="79"/>
      <c r="I10" s="94">
        <f>336788/12</f>
        <v>28065.666666666668</v>
      </c>
    </row>
    <row r="11" spans="1:9">
      <c r="A11" s="96"/>
      <c r="B11" s="95"/>
      <c r="C11" s="95"/>
      <c r="D11" s="95"/>
      <c r="E11" s="89"/>
      <c r="F11" s="89"/>
      <c r="G11" s="79"/>
      <c r="H11" s="79"/>
      <c r="I11" s="94"/>
    </row>
    <row r="12" spans="1:9" ht="32.25" customHeight="1">
      <c r="A12" s="110">
        <v>2</v>
      </c>
      <c r="B12" s="98" t="s">
        <v>13</v>
      </c>
      <c r="C12" s="99"/>
      <c r="D12" s="100"/>
      <c r="E12" s="93" t="s">
        <v>14</v>
      </c>
      <c r="F12" s="93"/>
      <c r="G12" s="92" t="s">
        <v>10</v>
      </c>
      <c r="H12" s="92"/>
      <c r="I12" s="3">
        <f>801387.57/12</f>
        <v>66782.297500000001</v>
      </c>
    </row>
    <row r="13" spans="1:9" ht="15" customHeight="1">
      <c r="A13" s="111"/>
      <c r="B13" s="101"/>
      <c r="C13" s="102"/>
      <c r="D13" s="103"/>
      <c r="E13" s="89" t="s">
        <v>16</v>
      </c>
      <c r="F13" s="89"/>
      <c r="G13" s="79" t="s">
        <v>12</v>
      </c>
      <c r="H13" s="79"/>
      <c r="I13" s="109">
        <f>596715/12</f>
        <v>49726.25</v>
      </c>
    </row>
    <row r="14" spans="1:9">
      <c r="A14" s="111"/>
      <c r="B14" s="101"/>
      <c r="C14" s="102"/>
      <c r="D14" s="103"/>
      <c r="E14" s="89"/>
      <c r="F14" s="89"/>
      <c r="G14" s="79"/>
      <c r="H14" s="79"/>
      <c r="I14" s="109"/>
    </row>
    <row r="15" spans="1:9" ht="15" customHeight="1">
      <c r="A15" s="111"/>
      <c r="B15" s="101"/>
      <c r="C15" s="102"/>
      <c r="D15" s="103"/>
      <c r="E15" s="89" t="s">
        <v>17</v>
      </c>
      <c r="F15" s="89"/>
      <c r="G15" s="79" t="s">
        <v>12</v>
      </c>
      <c r="H15" s="79"/>
      <c r="I15" s="109">
        <f>671193/12</f>
        <v>55932.75</v>
      </c>
    </row>
    <row r="16" spans="1:9">
      <c r="A16" s="111"/>
      <c r="B16" s="101"/>
      <c r="C16" s="102"/>
      <c r="D16" s="103"/>
      <c r="E16" s="89"/>
      <c r="F16" s="89"/>
      <c r="G16" s="79"/>
      <c r="H16" s="79"/>
      <c r="I16" s="109"/>
    </row>
    <row r="17" spans="1:9" ht="15" customHeight="1">
      <c r="A17" s="111"/>
      <c r="B17" s="101"/>
      <c r="C17" s="102"/>
      <c r="D17" s="103"/>
      <c r="E17" s="89" t="s">
        <v>18</v>
      </c>
      <c r="F17" s="89"/>
      <c r="G17" s="93" t="s">
        <v>12</v>
      </c>
      <c r="H17" s="93"/>
      <c r="I17" s="109">
        <f>535038.54/12</f>
        <v>44586.545000000006</v>
      </c>
    </row>
    <row r="18" spans="1:9">
      <c r="A18" s="111"/>
      <c r="B18" s="101"/>
      <c r="C18" s="102"/>
      <c r="D18" s="103"/>
      <c r="E18" s="89"/>
      <c r="F18" s="89"/>
      <c r="G18" s="93"/>
      <c r="H18" s="93"/>
      <c r="I18" s="109"/>
    </row>
    <row r="19" spans="1:9" ht="4.5" hidden="1" customHeight="1">
      <c r="A19" s="111"/>
      <c r="B19" s="101"/>
      <c r="C19" s="102"/>
      <c r="D19" s="103"/>
      <c r="E19" s="89"/>
      <c r="F19" s="89"/>
      <c r="G19" s="93"/>
      <c r="H19" s="93"/>
      <c r="I19" s="109"/>
    </row>
    <row r="20" spans="1:9" ht="15" customHeight="1">
      <c r="A20" s="111"/>
      <c r="B20" s="101"/>
      <c r="C20" s="102"/>
      <c r="D20" s="103"/>
      <c r="E20" s="89" t="s">
        <v>19</v>
      </c>
      <c r="F20" s="89"/>
      <c r="G20" s="79" t="s">
        <v>12</v>
      </c>
      <c r="H20" s="79"/>
      <c r="I20" s="109">
        <f>538231.74/12</f>
        <v>44852.644999999997</v>
      </c>
    </row>
    <row r="21" spans="1:9">
      <c r="A21" s="111"/>
      <c r="B21" s="101"/>
      <c r="C21" s="102"/>
      <c r="D21" s="103"/>
      <c r="E21" s="89"/>
      <c r="F21" s="89"/>
      <c r="G21" s="79"/>
      <c r="H21" s="79"/>
      <c r="I21" s="109"/>
    </row>
    <row r="22" spans="1:9" ht="43.5" customHeight="1">
      <c r="A22" s="112"/>
      <c r="B22" s="104"/>
      <c r="C22" s="105"/>
      <c r="D22" s="106"/>
      <c r="E22" s="107" t="s">
        <v>119</v>
      </c>
      <c r="F22" s="108"/>
      <c r="G22" s="113" t="s">
        <v>41</v>
      </c>
      <c r="H22" s="114"/>
      <c r="I22" s="2">
        <f>336608.7/12</f>
        <v>28050.725000000002</v>
      </c>
    </row>
    <row r="23" spans="1:9" ht="17.25" customHeight="1">
      <c r="A23" s="96">
        <v>3</v>
      </c>
      <c r="B23" s="126" t="s">
        <v>20</v>
      </c>
      <c r="C23" s="126"/>
      <c r="D23" s="126"/>
      <c r="E23" s="125" t="s">
        <v>21</v>
      </c>
      <c r="F23" s="125"/>
      <c r="G23" s="92" t="s">
        <v>10</v>
      </c>
      <c r="H23" s="92"/>
      <c r="I23" s="115">
        <f>552081/12</f>
        <v>46006.75</v>
      </c>
    </row>
    <row r="24" spans="1:9">
      <c r="A24" s="96"/>
      <c r="B24" s="126"/>
      <c r="C24" s="126"/>
      <c r="D24" s="126"/>
      <c r="E24" s="125"/>
      <c r="F24" s="125"/>
      <c r="G24" s="92"/>
      <c r="H24" s="92"/>
      <c r="I24" s="116"/>
    </row>
    <row r="25" spans="1:9" ht="12" customHeight="1">
      <c r="A25" s="96"/>
      <c r="B25" s="126"/>
      <c r="C25" s="126"/>
      <c r="D25" s="126"/>
      <c r="E25" s="125" t="s">
        <v>22</v>
      </c>
      <c r="F25" s="125"/>
      <c r="G25" s="119" t="s">
        <v>12</v>
      </c>
      <c r="H25" s="120"/>
      <c r="I25" s="115">
        <f>425020/12</f>
        <v>35418.333333333336</v>
      </c>
    </row>
    <row r="26" spans="1:9">
      <c r="A26" s="96"/>
      <c r="B26" s="126"/>
      <c r="C26" s="126"/>
      <c r="D26" s="126"/>
      <c r="E26" s="125"/>
      <c r="F26" s="125"/>
      <c r="G26" s="121"/>
      <c r="H26" s="122"/>
      <c r="I26" s="117"/>
    </row>
    <row r="27" spans="1:9" ht="3.75" customHeight="1">
      <c r="A27" s="96"/>
      <c r="B27" s="126"/>
      <c r="C27" s="126"/>
      <c r="D27" s="126"/>
      <c r="E27" s="125"/>
      <c r="F27" s="125"/>
      <c r="G27" s="123"/>
      <c r="H27" s="124"/>
      <c r="I27" s="116"/>
    </row>
    <row r="28" spans="1:9" ht="27" customHeight="1">
      <c r="A28" s="96"/>
      <c r="B28" s="126"/>
      <c r="C28" s="126"/>
      <c r="D28" s="126"/>
      <c r="E28" s="125" t="s">
        <v>23</v>
      </c>
      <c r="F28" s="125"/>
      <c r="G28" s="93" t="s">
        <v>12</v>
      </c>
      <c r="H28" s="93"/>
      <c r="I28" s="3">
        <f>479814/12</f>
        <v>39984.5</v>
      </c>
    </row>
    <row r="29" spans="1:9" ht="15" customHeight="1">
      <c r="A29" s="96"/>
      <c r="B29" s="126"/>
      <c r="C29" s="126"/>
      <c r="D29" s="126"/>
      <c r="E29" s="125" t="s">
        <v>24</v>
      </c>
      <c r="F29" s="125"/>
      <c r="G29" s="93" t="s">
        <v>12</v>
      </c>
      <c r="H29" s="93"/>
      <c r="I29" s="115">
        <f>474314/12</f>
        <v>39526.166666666664</v>
      </c>
    </row>
    <row r="30" spans="1:9">
      <c r="A30" s="96"/>
      <c r="B30" s="126"/>
      <c r="C30" s="126"/>
      <c r="D30" s="126"/>
      <c r="E30" s="125"/>
      <c r="F30" s="125"/>
      <c r="G30" s="93"/>
      <c r="H30" s="93"/>
      <c r="I30" s="116"/>
    </row>
    <row r="31" spans="1:9" ht="30.75" customHeight="1">
      <c r="A31" s="96">
        <v>4</v>
      </c>
      <c r="B31" s="118" t="s">
        <v>25</v>
      </c>
      <c r="C31" s="118"/>
      <c r="D31" s="118"/>
      <c r="E31" s="128" t="s">
        <v>26</v>
      </c>
      <c r="F31" s="128"/>
      <c r="G31" s="93" t="s">
        <v>10</v>
      </c>
      <c r="H31" s="93"/>
      <c r="I31" s="3">
        <f>728335.57/12</f>
        <v>60694.630833333329</v>
      </c>
    </row>
    <row r="32" spans="1:9" ht="33.75" customHeight="1">
      <c r="A32" s="96"/>
      <c r="B32" s="118"/>
      <c r="C32" s="118"/>
      <c r="D32" s="118"/>
      <c r="E32" s="128" t="s">
        <v>27</v>
      </c>
      <c r="F32" s="128"/>
      <c r="G32" s="93" t="s">
        <v>12</v>
      </c>
      <c r="H32" s="93"/>
      <c r="I32" s="3">
        <f>521795.51/12</f>
        <v>43482.959166666667</v>
      </c>
    </row>
    <row r="33" spans="1:9" ht="33.75" customHeight="1">
      <c r="A33" s="96"/>
      <c r="B33" s="118"/>
      <c r="C33" s="118"/>
      <c r="D33" s="118"/>
      <c r="E33" s="128" t="s">
        <v>28</v>
      </c>
      <c r="F33" s="128"/>
      <c r="G33" s="93" t="s">
        <v>12</v>
      </c>
      <c r="H33" s="93"/>
      <c r="I33" s="3">
        <f>462239/12</f>
        <v>38519.916666666664</v>
      </c>
    </row>
    <row r="34" spans="1:9" ht="28.5" customHeight="1">
      <c r="A34" s="96">
        <v>5</v>
      </c>
      <c r="B34" s="127" t="s">
        <v>29</v>
      </c>
      <c r="C34" s="127"/>
      <c r="D34" s="127"/>
      <c r="E34" s="89" t="s">
        <v>30</v>
      </c>
      <c r="F34" s="89"/>
      <c r="G34" s="92" t="s">
        <v>10</v>
      </c>
      <c r="H34" s="92"/>
      <c r="I34" s="3">
        <f>482372/12</f>
        <v>40197.666666666664</v>
      </c>
    </row>
    <row r="35" spans="1:9" ht="33.75" customHeight="1">
      <c r="A35" s="96"/>
      <c r="B35" s="127"/>
      <c r="C35" s="127"/>
      <c r="D35" s="127"/>
      <c r="E35" s="89" t="s">
        <v>31</v>
      </c>
      <c r="F35" s="89"/>
      <c r="G35" s="93" t="s">
        <v>12</v>
      </c>
      <c r="H35" s="93"/>
      <c r="I35" s="3">
        <f>384767/12</f>
        <v>32063.916666666668</v>
      </c>
    </row>
    <row r="36" spans="1:9" ht="30.75" customHeight="1">
      <c r="A36" s="96"/>
      <c r="B36" s="127"/>
      <c r="C36" s="127"/>
      <c r="D36" s="127"/>
      <c r="E36" s="89" t="s">
        <v>32</v>
      </c>
      <c r="F36" s="89"/>
      <c r="G36" s="93" t="s">
        <v>12</v>
      </c>
      <c r="H36" s="93"/>
      <c r="I36" s="3">
        <f>306635/12</f>
        <v>25552.916666666668</v>
      </c>
    </row>
    <row r="37" spans="1:9" ht="33.75" customHeight="1">
      <c r="A37" s="96"/>
      <c r="B37" s="127"/>
      <c r="C37" s="127"/>
      <c r="D37" s="127"/>
      <c r="E37" s="89" t="s">
        <v>33</v>
      </c>
      <c r="F37" s="89"/>
      <c r="G37" s="93" t="s">
        <v>12</v>
      </c>
      <c r="H37" s="93"/>
      <c r="I37" s="3">
        <f>(118289-2608)/4</f>
        <v>28920.25</v>
      </c>
    </row>
    <row r="38" spans="1:9" ht="35.25" customHeight="1">
      <c r="A38" s="84">
        <v>6</v>
      </c>
      <c r="B38" s="129" t="s">
        <v>34</v>
      </c>
      <c r="C38" s="129"/>
      <c r="D38" s="129"/>
      <c r="E38" s="128" t="s">
        <v>39</v>
      </c>
      <c r="F38" s="128"/>
      <c r="G38" s="92" t="s">
        <v>10</v>
      </c>
      <c r="H38" s="92"/>
      <c r="I38" s="3">
        <v>54742.27</v>
      </c>
    </row>
    <row r="39" spans="1:9" ht="33.75" customHeight="1">
      <c r="A39" s="84"/>
      <c r="B39" s="129"/>
      <c r="C39" s="129"/>
      <c r="D39" s="129"/>
      <c r="E39" s="128" t="s">
        <v>35</v>
      </c>
      <c r="F39" s="128"/>
      <c r="G39" s="93" t="s">
        <v>12</v>
      </c>
      <c r="H39" s="93"/>
      <c r="I39" s="3">
        <v>41936.129999999997</v>
      </c>
    </row>
    <row r="40" spans="1:9" ht="33.75" customHeight="1">
      <c r="A40" s="84"/>
      <c r="B40" s="129"/>
      <c r="C40" s="129"/>
      <c r="D40" s="129"/>
      <c r="E40" s="89" t="s">
        <v>36</v>
      </c>
      <c r="F40" s="89"/>
      <c r="G40" s="93" t="s">
        <v>12</v>
      </c>
      <c r="H40" s="93"/>
      <c r="I40" s="3">
        <f>606380.74/12</f>
        <v>50531.728333333333</v>
      </c>
    </row>
    <row r="41" spans="1:9" ht="33.75" customHeight="1">
      <c r="A41" s="84"/>
      <c r="B41" s="129"/>
      <c r="C41" s="129"/>
      <c r="D41" s="129"/>
      <c r="E41" s="89" t="s">
        <v>37</v>
      </c>
      <c r="F41" s="89"/>
      <c r="G41" s="93" t="s">
        <v>12</v>
      </c>
      <c r="H41" s="93"/>
      <c r="I41" s="3">
        <v>43386.1</v>
      </c>
    </row>
    <row r="42" spans="1:9" ht="33.75" customHeight="1">
      <c r="A42" s="84"/>
      <c r="B42" s="129"/>
      <c r="C42" s="129"/>
      <c r="D42" s="129"/>
      <c r="E42" s="89" t="s">
        <v>38</v>
      </c>
      <c r="F42" s="89"/>
      <c r="G42" s="93" t="s">
        <v>12</v>
      </c>
      <c r="H42" s="93"/>
      <c r="I42" s="3">
        <f>565439.86/12</f>
        <v>47119.988333333335</v>
      </c>
    </row>
    <row r="43" spans="1:9" ht="28.5" customHeight="1">
      <c r="A43" s="84"/>
      <c r="B43" s="129"/>
      <c r="C43" s="129"/>
      <c r="D43" s="129"/>
      <c r="E43" s="89" t="s">
        <v>40</v>
      </c>
      <c r="F43" s="89"/>
      <c r="G43" s="93" t="s">
        <v>12</v>
      </c>
      <c r="H43" s="93"/>
      <c r="I43" s="3">
        <f>440011/12</f>
        <v>36667.583333333336</v>
      </c>
    </row>
    <row r="44" spans="1:9" ht="43.5" customHeight="1">
      <c r="A44" s="84"/>
      <c r="B44" s="129"/>
      <c r="C44" s="129"/>
      <c r="D44" s="129"/>
      <c r="E44" s="79" t="s">
        <v>42</v>
      </c>
      <c r="F44" s="79"/>
      <c r="G44" s="79" t="s">
        <v>41</v>
      </c>
      <c r="H44" s="79"/>
      <c r="I44" s="4">
        <f>534444.53/12</f>
        <v>44537.044166666667</v>
      </c>
    </row>
    <row r="45" spans="1:9" ht="32.25" customHeight="1">
      <c r="A45" s="84">
        <v>7</v>
      </c>
      <c r="B45" s="130" t="s">
        <v>43</v>
      </c>
      <c r="C45" s="130"/>
      <c r="D45" s="130"/>
      <c r="E45" s="128" t="s">
        <v>44</v>
      </c>
      <c r="F45" s="128"/>
      <c r="G45" s="81" t="s">
        <v>10</v>
      </c>
      <c r="H45" s="81"/>
      <c r="I45" s="4">
        <f>423917.15/12</f>
        <v>35326.429166666669</v>
      </c>
    </row>
    <row r="46" spans="1:9" ht="25.5" customHeight="1">
      <c r="A46" s="84"/>
      <c r="B46" s="130"/>
      <c r="C46" s="130"/>
      <c r="D46" s="130"/>
      <c r="E46" s="128" t="s">
        <v>45</v>
      </c>
      <c r="F46" s="128"/>
      <c r="G46" s="79" t="s">
        <v>47</v>
      </c>
      <c r="H46" s="79"/>
      <c r="I46" s="4">
        <f>348210.55/12</f>
        <v>29017.545833333334</v>
      </c>
    </row>
    <row r="47" spans="1:9" ht="35.25" customHeight="1">
      <c r="A47" s="84"/>
      <c r="B47" s="130"/>
      <c r="C47" s="130"/>
      <c r="D47" s="130"/>
      <c r="E47" s="128" t="s">
        <v>46</v>
      </c>
      <c r="F47" s="128"/>
      <c r="G47" s="79" t="s">
        <v>47</v>
      </c>
      <c r="H47" s="79"/>
      <c r="I47" s="4">
        <f>332080.56/12</f>
        <v>27673.38</v>
      </c>
    </row>
    <row r="48" spans="1:9" ht="32.25" customHeight="1">
      <c r="A48" s="84">
        <v>8</v>
      </c>
      <c r="B48" s="133" t="s">
        <v>48</v>
      </c>
      <c r="C48" s="133"/>
      <c r="D48" s="133"/>
      <c r="E48" s="89" t="s">
        <v>50</v>
      </c>
      <c r="F48" s="89"/>
      <c r="G48" s="81" t="s">
        <v>10</v>
      </c>
      <c r="H48" s="81"/>
      <c r="I48" s="4">
        <f>659613/12</f>
        <v>54967.75</v>
      </c>
    </row>
    <row r="49" spans="1:9" ht="33.75" customHeight="1">
      <c r="A49" s="84"/>
      <c r="B49" s="133"/>
      <c r="C49" s="133"/>
      <c r="D49" s="133"/>
      <c r="E49" s="89" t="s">
        <v>49</v>
      </c>
      <c r="F49" s="89"/>
      <c r="G49" s="79" t="s">
        <v>47</v>
      </c>
      <c r="H49" s="79"/>
      <c r="I49" s="4">
        <f>503218/12</f>
        <v>41934.833333333336</v>
      </c>
    </row>
    <row r="50" spans="1:9" ht="33.75" customHeight="1">
      <c r="A50" s="84"/>
      <c r="B50" s="133"/>
      <c r="C50" s="133"/>
      <c r="D50" s="133"/>
      <c r="E50" s="89" t="s">
        <v>51</v>
      </c>
      <c r="F50" s="89"/>
      <c r="G50" s="79" t="s">
        <v>47</v>
      </c>
      <c r="H50" s="79"/>
      <c r="I50" s="4">
        <f>569342/12</f>
        <v>47445.166666666664</v>
      </c>
    </row>
    <row r="51" spans="1:9" ht="33.75" customHeight="1">
      <c r="A51" s="84"/>
      <c r="B51" s="133"/>
      <c r="C51" s="133"/>
      <c r="D51" s="133"/>
      <c r="E51" s="89" t="s">
        <v>52</v>
      </c>
      <c r="F51" s="89"/>
      <c r="G51" s="79" t="s">
        <v>47</v>
      </c>
      <c r="H51" s="79"/>
      <c r="I51" s="4">
        <f>510971/12</f>
        <v>42580.916666666664</v>
      </c>
    </row>
    <row r="52" spans="1:9" ht="33.75" customHeight="1">
      <c r="A52" s="84"/>
      <c r="B52" s="133"/>
      <c r="C52" s="133"/>
      <c r="D52" s="133"/>
      <c r="E52" s="89" t="s">
        <v>53</v>
      </c>
      <c r="F52" s="89"/>
      <c r="G52" s="79" t="s">
        <v>47</v>
      </c>
      <c r="H52" s="79"/>
      <c r="I52" s="4">
        <f>573762/12</f>
        <v>47813.5</v>
      </c>
    </row>
    <row r="53" spans="1:9" ht="44.25" customHeight="1">
      <c r="A53" s="84"/>
      <c r="B53" s="133"/>
      <c r="C53" s="133"/>
      <c r="D53" s="133"/>
      <c r="E53" s="92" t="s">
        <v>125</v>
      </c>
      <c r="F53" s="92"/>
      <c r="G53" s="79" t="s">
        <v>54</v>
      </c>
      <c r="H53" s="79"/>
      <c r="I53" s="4">
        <f>445254/12</f>
        <v>37104.5</v>
      </c>
    </row>
    <row r="54" spans="1:9" ht="28.5" customHeight="1">
      <c r="A54" s="84">
        <v>9</v>
      </c>
      <c r="B54" s="132" t="s">
        <v>55</v>
      </c>
      <c r="C54" s="132"/>
      <c r="D54" s="132"/>
      <c r="E54" s="89" t="s">
        <v>57</v>
      </c>
      <c r="F54" s="89"/>
      <c r="G54" s="81" t="s">
        <v>10</v>
      </c>
      <c r="H54" s="81"/>
      <c r="I54" s="4">
        <f>549710/12</f>
        <v>45809.166666666664</v>
      </c>
    </row>
    <row r="55" spans="1:9" ht="33" customHeight="1">
      <c r="A55" s="84"/>
      <c r="B55" s="132"/>
      <c r="C55" s="132"/>
      <c r="D55" s="132"/>
      <c r="E55" s="82" t="s">
        <v>58</v>
      </c>
      <c r="F55" s="82"/>
      <c r="G55" s="79" t="s">
        <v>47</v>
      </c>
      <c r="H55" s="79"/>
      <c r="I55" s="4">
        <f>453477.2/12</f>
        <v>37789.76666666667</v>
      </c>
    </row>
    <row r="56" spans="1:9" ht="33.75" customHeight="1">
      <c r="A56" s="84"/>
      <c r="B56" s="132"/>
      <c r="C56" s="132"/>
      <c r="D56" s="132"/>
      <c r="E56" s="82" t="s">
        <v>56</v>
      </c>
      <c r="F56" s="82"/>
      <c r="G56" s="79" t="s">
        <v>47</v>
      </c>
      <c r="H56" s="79"/>
      <c r="I56" s="4">
        <f>432701.4/12</f>
        <v>36058.450000000004</v>
      </c>
    </row>
    <row r="57" spans="1:9" ht="40.5" customHeight="1">
      <c r="A57" s="84">
        <v>10</v>
      </c>
      <c r="B57" s="131" t="s">
        <v>59</v>
      </c>
      <c r="C57" s="131"/>
      <c r="D57" s="131"/>
      <c r="E57" s="128" t="s">
        <v>60</v>
      </c>
      <c r="F57" s="128"/>
      <c r="G57" s="81" t="s">
        <v>10</v>
      </c>
      <c r="H57" s="81"/>
      <c r="I57" s="4">
        <f>578837/12</f>
        <v>48236.416666666664</v>
      </c>
    </row>
    <row r="58" spans="1:9" ht="33.75" customHeight="1">
      <c r="A58" s="84"/>
      <c r="B58" s="131"/>
      <c r="C58" s="131"/>
      <c r="D58" s="131"/>
      <c r="E58" s="128" t="s">
        <v>62</v>
      </c>
      <c r="F58" s="128"/>
      <c r="G58" s="79" t="s">
        <v>47</v>
      </c>
      <c r="H58" s="79"/>
      <c r="I58" s="4">
        <f>418215/12</f>
        <v>34851.25</v>
      </c>
    </row>
    <row r="59" spans="1:9" ht="33.75" customHeight="1">
      <c r="A59" s="84"/>
      <c r="B59" s="131"/>
      <c r="C59" s="131"/>
      <c r="D59" s="131"/>
      <c r="E59" s="89" t="s">
        <v>61</v>
      </c>
      <c r="F59" s="89"/>
      <c r="G59" s="79" t="s">
        <v>47</v>
      </c>
      <c r="H59" s="79"/>
      <c r="I59" s="4">
        <f>412090/12</f>
        <v>34340.833333333336</v>
      </c>
    </row>
    <row r="60" spans="1:9" ht="35.25" customHeight="1">
      <c r="A60" s="84">
        <v>11</v>
      </c>
      <c r="B60" s="135" t="s">
        <v>63</v>
      </c>
      <c r="C60" s="135"/>
      <c r="D60" s="135"/>
      <c r="E60" s="89" t="s">
        <v>64</v>
      </c>
      <c r="F60" s="89"/>
      <c r="G60" s="81" t="s">
        <v>10</v>
      </c>
      <c r="H60" s="81"/>
      <c r="I60" s="4">
        <f>426609/12</f>
        <v>35550.75</v>
      </c>
    </row>
    <row r="61" spans="1:9" ht="33.75" customHeight="1">
      <c r="A61" s="84"/>
      <c r="B61" s="135"/>
      <c r="C61" s="135"/>
      <c r="D61" s="135"/>
      <c r="E61" s="89" t="s">
        <v>65</v>
      </c>
      <c r="F61" s="89"/>
      <c r="G61" s="79" t="s">
        <v>47</v>
      </c>
      <c r="H61" s="79"/>
      <c r="I61" s="4">
        <f>412504/12</f>
        <v>34375.333333333336</v>
      </c>
    </row>
    <row r="62" spans="1:9" ht="33.75" customHeight="1">
      <c r="A62" s="84"/>
      <c r="B62" s="135"/>
      <c r="C62" s="135"/>
      <c r="D62" s="135"/>
      <c r="E62" s="89" t="s">
        <v>66</v>
      </c>
      <c r="F62" s="89"/>
      <c r="G62" s="79" t="s">
        <v>47</v>
      </c>
      <c r="H62" s="79"/>
      <c r="I62" s="4">
        <f>413880/12</f>
        <v>34490</v>
      </c>
    </row>
    <row r="63" spans="1:9" ht="39" customHeight="1">
      <c r="A63" s="84">
        <v>12</v>
      </c>
      <c r="B63" s="134" t="s">
        <v>67</v>
      </c>
      <c r="C63" s="134"/>
      <c r="D63" s="134"/>
      <c r="E63" s="82" t="s">
        <v>68</v>
      </c>
      <c r="F63" s="82"/>
      <c r="G63" s="81" t="s">
        <v>10</v>
      </c>
      <c r="H63" s="81"/>
      <c r="I63" s="4">
        <f>367384.35/12</f>
        <v>30615.362499999999</v>
      </c>
    </row>
    <row r="64" spans="1:9" ht="33.75" customHeight="1">
      <c r="A64" s="84"/>
      <c r="B64" s="134"/>
      <c r="C64" s="134"/>
      <c r="D64" s="134"/>
      <c r="E64" s="82" t="s">
        <v>69</v>
      </c>
      <c r="F64" s="82"/>
      <c r="G64" s="79" t="s">
        <v>47</v>
      </c>
      <c r="H64" s="79"/>
      <c r="I64" s="4">
        <f>269723.47/12</f>
        <v>22476.95583333333</v>
      </c>
    </row>
    <row r="65" spans="1:9" ht="33.75" customHeight="1">
      <c r="A65" s="84"/>
      <c r="B65" s="134"/>
      <c r="C65" s="134"/>
      <c r="D65" s="134"/>
      <c r="E65" s="82" t="s">
        <v>70</v>
      </c>
      <c r="F65" s="82"/>
      <c r="G65" s="79" t="s">
        <v>47</v>
      </c>
      <c r="H65" s="79"/>
      <c r="I65" s="4">
        <f>350972.51/12</f>
        <v>29247.709166666667</v>
      </c>
    </row>
    <row r="66" spans="1:9" ht="31.5" customHeight="1">
      <c r="A66" s="84">
        <v>13</v>
      </c>
      <c r="B66" s="136" t="s">
        <v>71</v>
      </c>
      <c r="C66" s="136"/>
      <c r="D66" s="136"/>
      <c r="E66" s="89" t="s">
        <v>72</v>
      </c>
      <c r="F66" s="89"/>
      <c r="G66" s="81" t="s">
        <v>10</v>
      </c>
      <c r="H66" s="81"/>
      <c r="I66" s="4">
        <f>594297.98/12</f>
        <v>49524.831666666665</v>
      </c>
    </row>
    <row r="67" spans="1:9" ht="33.75" customHeight="1">
      <c r="A67" s="84"/>
      <c r="B67" s="136"/>
      <c r="C67" s="136"/>
      <c r="D67" s="136"/>
      <c r="E67" s="89" t="s">
        <v>73</v>
      </c>
      <c r="F67" s="89"/>
      <c r="G67" s="79" t="s">
        <v>47</v>
      </c>
      <c r="H67" s="79"/>
      <c r="I67" s="4">
        <f>423166.62/12</f>
        <v>35263.885000000002</v>
      </c>
    </row>
    <row r="68" spans="1:9" ht="33.75" customHeight="1">
      <c r="A68" s="84"/>
      <c r="B68" s="136"/>
      <c r="C68" s="136"/>
      <c r="D68" s="136"/>
      <c r="E68" s="89" t="s">
        <v>74</v>
      </c>
      <c r="F68" s="89"/>
      <c r="G68" s="79" t="s">
        <v>47</v>
      </c>
      <c r="H68" s="79"/>
      <c r="I68" s="4">
        <v>36758</v>
      </c>
    </row>
    <row r="69" spans="1:9" ht="33.75" customHeight="1">
      <c r="A69" s="84"/>
      <c r="B69" s="136"/>
      <c r="C69" s="136"/>
      <c r="D69" s="136"/>
      <c r="E69" s="89" t="s">
        <v>75</v>
      </c>
      <c r="F69" s="89"/>
      <c r="G69" s="79" t="s">
        <v>47</v>
      </c>
      <c r="H69" s="79"/>
      <c r="I69" s="4">
        <v>15966</v>
      </c>
    </row>
    <row r="70" spans="1:9" ht="35.25" customHeight="1">
      <c r="A70" s="84">
        <v>14</v>
      </c>
      <c r="B70" s="80" t="s">
        <v>76</v>
      </c>
      <c r="C70" s="80"/>
      <c r="D70" s="80"/>
      <c r="E70" s="89" t="s">
        <v>77</v>
      </c>
      <c r="F70" s="89"/>
      <c r="G70" s="81" t="s">
        <v>10</v>
      </c>
      <c r="H70" s="81"/>
      <c r="I70" s="4">
        <f>686837.63/12</f>
        <v>57236.469166666669</v>
      </c>
    </row>
    <row r="71" spans="1:9" ht="33.75" customHeight="1">
      <c r="A71" s="84"/>
      <c r="B71" s="80"/>
      <c r="C71" s="80"/>
      <c r="D71" s="80"/>
      <c r="E71" s="89" t="s">
        <v>78</v>
      </c>
      <c r="F71" s="89"/>
      <c r="G71" s="79" t="s">
        <v>47</v>
      </c>
      <c r="H71" s="79"/>
      <c r="I71" s="4">
        <f>550999.92/12</f>
        <v>45916.66</v>
      </c>
    </row>
    <row r="72" spans="1:9" ht="33.75" customHeight="1">
      <c r="A72" s="84"/>
      <c r="B72" s="80"/>
      <c r="C72" s="80"/>
      <c r="D72" s="80"/>
      <c r="E72" s="89" t="s">
        <v>79</v>
      </c>
      <c r="F72" s="89"/>
      <c r="G72" s="79" t="s">
        <v>47</v>
      </c>
      <c r="H72" s="79"/>
      <c r="I72" s="4">
        <f>463545.27/12</f>
        <v>38628.772499999999</v>
      </c>
    </row>
    <row r="73" spans="1:9" ht="30" customHeight="1">
      <c r="A73" s="84"/>
      <c r="B73" s="80"/>
      <c r="C73" s="80"/>
      <c r="D73" s="80"/>
      <c r="E73" s="137" t="s">
        <v>80</v>
      </c>
      <c r="F73" s="137"/>
      <c r="G73" s="79" t="s">
        <v>47</v>
      </c>
      <c r="H73" s="79"/>
      <c r="I73" s="4">
        <v>32901.96</v>
      </c>
    </row>
    <row r="74" spans="1:9" ht="36.75" customHeight="1">
      <c r="A74" s="84">
        <v>15</v>
      </c>
      <c r="B74" s="80" t="s">
        <v>81</v>
      </c>
      <c r="C74" s="80"/>
      <c r="D74" s="80"/>
      <c r="E74" s="89" t="s">
        <v>82</v>
      </c>
      <c r="F74" s="89"/>
      <c r="G74" s="81" t="s">
        <v>10</v>
      </c>
      <c r="H74" s="81"/>
      <c r="I74" s="3">
        <f>541972.93/12</f>
        <v>45164.410833333335</v>
      </c>
    </row>
    <row r="75" spans="1:9" ht="35.25" customHeight="1">
      <c r="A75" s="84"/>
      <c r="B75" s="80"/>
      <c r="C75" s="80"/>
      <c r="D75" s="80"/>
      <c r="E75" s="89" t="s">
        <v>83</v>
      </c>
      <c r="F75" s="89"/>
      <c r="G75" s="79" t="s">
        <v>47</v>
      </c>
      <c r="H75" s="79"/>
      <c r="I75" s="3">
        <f>417571/12</f>
        <v>34797.583333333336</v>
      </c>
    </row>
    <row r="76" spans="1:9" ht="35.25" customHeight="1">
      <c r="A76" s="84"/>
      <c r="B76" s="80"/>
      <c r="C76" s="80"/>
      <c r="D76" s="80"/>
      <c r="E76" s="89" t="s">
        <v>84</v>
      </c>
      <c r="F76" s="89"/>
      <c r="G76" s="79" t="s">
        <v>47</v>
      </c>
      <c r="H76" s="79"/>
      <c r="I76" s="3">
        <f>403602.66/12</f>
        <v>33633.555</v>
      </c>
    </row>
    <row r="77" spans="1:9" ht="33.75" customHeight="1">
      <c r="A77" s="84"/>
      <c r="B77" s="80"/>
      <c r="C77" s="80"/>
      <c r="D77" s="80"/>
      <c r="E77" s="89" t="s">
        <v>85</v>
      </c>
      <c r="F77" s="89"/>
      <c r="G77" s="79" t="s">
        <v>47</v>
      </c>
      <c r="H77" s="79"/>
      <c r="I77" s="3">
        <f>171348.92/6</f>
        <v>28558.153333333335</v>
      </c>
    </row>
    <row r="78" spans="1:9" ht="35.25" customHeight="1">
      <c r="A78" s="84">
        <v>16</v>
      </c>
      <c r="B78" s="80" t="s">
        <v>86</v>
      </c>
      <c r="C78" s="80"/>
      <c r="D78" s="80"/>
      <c r="E78" s="86" t="s">
        <v>87</v>
      </c>
      <c r="F78" s="86"/>
      <c r="G78" s="81" t="s">
        <v>10</v>
      </c>
      <c r="H78" s="81"/>
      <c r="I78" s="4">
        <f>452281/12</f>
        <v>37690.083333333336</v>
      </c>
    </row>
    <row r="79" spans="1:9" ht="36.75" customHeight="1">
      <c r="A79" s="84"/>
      <c r="B79" s="80"/>
      <c r="C79" s="80"/>
      <c r="D79" s="80"/>
      <c r="E79" s="86" t="s">
        <v>88</v>
      </c>
      <c r="F79" s="86"/>
      <c r="G79" s="79" t="s">
        <v>47</v>
      </c>
      <c r="H79" s="79"/>
      <c r="I79" s="4">
        <f>391161/12</f>
        <v>32596.75</v>
      </c>
    </row>
    <row r="80" spans="1:9" ht="38.25" customHeight="1">
      <c r="A80" s="84">
        <v>17</v>
      </c>
      <c r="B80" s="80" t="s">
        <v>89</v>
      </c>
      <c r="C80" s="80"/>
      <c r="D80" s="80"/>
      <c r="E80" s="90" t="s">
        <v>90</v>
      </c>
      <c r="F80" s="90"/>
      <c r="G80" s="81" t="s">
        <v>10</v>
      </c>
      <c r="H80" s="81"/>
      <c r="I80" s="4">
        <v>50417</v>
      </c>
    </row>
    <row r="81" spans="1:9" ht="33.75" customHeight="1">
      <c r="A81" s="84"/>
      <c r="B81" s="80"/>
      <c r="C81" s="80"/>
      <c r="D81" s="80"/>
      <c r="E81" s="90" t="s">
        <v>91</v>
      </c>
      <c r="F81" s="90"/>
      <c r="G81" s="79" t="s">
        <v>47</v>
      </c>
      <c r="H81" s="79"/>
      <c r="I81" s="4">
        <f>546015/12</f>
        <v>45501.25</v>
      </c>
    </row>
    <row r="82" spans="1:9" ht="33.75" customHeight="1">
      <c r="A82" s="84"/>
      <c r="B82" s="80"/>
      <c r="C82" s="80"/>
      <c r="D82" s="80"/>
      <c r="E82" s="90" t="s">
        <v>92</v>
      </c>
      <c r="F82" s="90"/>
      <c r="G82" s="79" t="s">
        <v>47</v>
      </c>
      <c r="H82" s="79"/>
      <c r="I82" s="4">
        <v>53462.62</v>
      </c>
    </row>
    <row r="83" spans="1:9" ht="33.75" customHeight="1">
      <c r="A83" s="84"/>
      <c r="B83" s="80"/>
      <c r="C83" s="80"/>
      <c r="D83" s="80"/>
      <c r="E83" s="83" t="s">
        <v>93</v>
      </c>
      <c r="F83" s="83"/>
      <c r="G83" s="79" t="s">
        <v>47</v>
      </c>
      <c r="H83" s="79"/>
      <c r="I83" s="4">
        <f>411201.59/12</f>
        <v>34266.799166666671</v>
      </c>
    </row>
    <row r="84" spans="1:9" ht="37.5" customHeight="1">
      <c r="A84" s="84">
        <v>18</v>
      </c>
      <c r="B84" s="80" t="s">
        <v>94</v>
      </c>
      <c r="C84" s="80"/>
      <c r="D84" s="80"/>
      <c r="E84" s="88" t="s">
        <v>95</v>
      </c>
      <c r="F84" s="88"/>
      <c r="G84" s="81" t="s">
        <v>10</v>
      </c>
      <c r="H84" s="81"/>
      <c r="I84" s="4">
        <f>441523/12</f>
        <v>36793.583333333336</v>
      </c>
    </row>
    <row r="85" spans="1:9" ht="33.75" customHeight="1">
      <c r="A85" s="84"/>
      <c r="B85" s="80"/>
      <c r="C85" s="80"/>
      <c r="D85" s="80"/>
      <c r="E85" s="88" t="s">
        <v>96</v>
      </c>
      <c r="F85" s="88"/>
      <c r="G85" s="79" t="s">
        <v>47</v>
      </c>
      <c r="H85" s="79"/>
      <c r="I85" s="4">
        <f>390298/12</f>
        <v>32524.833333333332</v>
      </c>
    </row>
    <row r="86" spans="1:9" ht="33.75" customHeight="1">
      <c r="A86" s="84"/>
      <c r="B86" s="80"/>
      <c r="C86" s="80"/>
      <c r="D86" s="80"/>
      <c r="E86" s="88" t="s">
        <v>97</v>
      </c>
      <c r="F86" s="88"/>
      <c r="G86" s="79" t="s">
        <v>47</v>
      </c>
      <c r="H86" s="79"/>
      <c r="I86" s="4">
        <f>423779/12</f>
        <v>35314.916666666664</v>
      </c>
    </row>
    <row r="87" spans="1:9" ht="34.5" customHeight="1">
      <c r="A87" s="84">
        <v>19</v>
      </c>
      <c r="B87" s="80" t="s">
        <v>98</v>
      </c>
      <c r="C87" s="80"/>
      <c r="D87" s="80"/>
      <c r="E87" s="82" t="s">
        <v>99</v>
      </c>
      <c r="F87" s="82"/>
      <c r="G87" s="81" t="s">
        <v>10</v>
      </c>
      <c r="H87" s="81"/>
      <c r="I87" s="4">
        <v>29836.84</v>
      </c>
    </row>
    <row r="88" spans="1:9" ht="36" customHeight="1">
      <c r="A88" s="84"/>
      <c r="B88" s="80"/>
      <c r="C88" s="80"/>
      <c r="D88" s="80"/>
      <c r="E88" s="82" t="s">
        <v>100</v>
      </c>
      <c r="F88" s="82"/>
      <c r="G88" s="79" t="s">
        <v>47</v>
      </c>
      <c r="H88" s="79"/>
      <c r="I88" s="4">
        <v>21489.59</v>
      </c>
    </row>
    <row r="89" spans="1:9" ht="36" customHeight="1">
      <c r="A89" s="84"/>
      <c r="B89" s="80"/>
      <c r="C89" s="80"/>
      <c r="D89" s="80"/>
      <c r="E89" s="87" t="s">
        <v>101</v>
      </c>
      <c r="F89" s="87"/>
      <c r="G89" s="79" t="s">
        <v>47</v>
      </c>
      <c r="H89" s="79"/>
      <c r="I89" s="4">
        <v>17135.439999999999</v>
      </c>
    </row>
    <row r="90" spans="1:9" ht="33" customHeight="1">
      <c r="A90" s="84">
        <v>20</v>
      </c>
      <c r="B90" s="80" t="s">
        <v>102</v>
      </c>
      <c r="C90" s="80"/>
      <c r="D90" s="80"/>
      <c r="E90" s="82" t="s">
        <v>103</v>
      </c>
      <c r="F90" s="82"/>
      <c r="G90" s="81" t="s">
        <v>10</v>
      </c>
      <c r="H90" s="81"/>
      <c r="I90" s="4">
        <f>464432.23/12</f>
        <v>38702.685833333329</v>
      </c>
    </row>
    <row r="91" spans="1:9" ht="33.75" customHeight="1">
      <c r="A91" s="84"/>
      <c r="B91" s="80"/>
      <c r="C91" s="80"/>
      <c r="D91" s="80"/>
      <c r="E91" s="82" t="s">
        <v>104</v>
      </c>
      <c r="F91" s="82"/>
      <c r="G91" s="79" t="s">
        <v>47</v>
      </c>
      <c r="H91" s="79"/>
      <c r="I91" s="4">
        <v>25256.97</v>
      </c>
    </row>
    <row r="92" spans="1:9" ht="33.75" customHeight="1">
      <c r="A92" s="84"/>
      <c r="B92" s="80"/>
      <c r="C92" s="80"/>
      <c r="D92" s="80"/>
      <c r="E92" s="82" t="s">
        <v>105</v>
      </c>
      <c r="F92" s="82"/>
      <c r="G92" s="79" t="s">
        <v>47</v>
      </c>
      <c r="H92" s="79"/>
      <c r="I92" s="4">
        <v>25062.95</v>
      </c>
    </row>
    <row r="93" spans="1:9" ht="39" customHeight="1">
      <c r="A93" s="84">
        <v>21</v>
      </c>
      <c r="B93" s="80" t="s">
        <v>106</v>
      </c>
      <c r="C93" s="80"/>
      <c r="D93" s="80"/>
      <c r="E93" s="82" t="s">
        <v>107</v>
      </c>
      <c r="F93" s="82"/>
      <c r="G93" s="81" t="s">
        <v>10</v>
      </c>
      <c r="H93" s="81"/>
      <c r="I93" s="4">
        <v>39229.42</v>
      </c>
    </row>
    <row r="94" spans="1:9" ht="36" customHeight="1">
      <c r="A94" s="84"/>
      <c r="B94" s="80"/>
      <c r="C94" s="80"/>
      <c r="D94" s="80"/>
      <c r="E94" s="83" t="s">
        <v>109</v>
      </c>
      <c r="F94" s="83"/>
      <c r="G94" s="79" t="s">
        <v>47</v>
      </c>
      <c r="H94" s="79"/>
      <c r="I94" s="4">
        <v>26855.919999999998</v>
      </c>
    </row>
    <row r="95" spans="1:9" ht="33.75" customHeight="1">
      <c r="A95" s="84"/>
      <c r="B95" s="80"/>
      <c r="C95" s="80"/>
      <c r="D95" s="80"/>
      <c r="E95" s="82" t="s">
        <v>108</v>
      </c>
      <c r="F95" s="82"/>
      <c r="G95" s="79" t="s">
        <v>47</v>
      </c>
      <c r="H95" s="79"/>
      <c r="I95" s="4">
        <v>28203.25</v>
      </c>
    </row>
    <row r="96" spans="1:9" ht="34.5" customHeight="1">
      <c r="A96" s="84">
        <v>22</v>
      </c>
      <c r="B96" s="80" t="s">
        <v>110</v>
      </c>
      <c r="C96" s="80"/>
      <c r="D96" s="80"/>
      <c r="E96" s="82" t="s">
        <v>111</v>
      </c>
      <c r="F96" s="82"/>
      <c r="G96" s="81" t="s">
        <v>10</v>
      </c>
      <c r="H96" s="81"/>
      <c r="I96" s="4">
        <v>38930.699999999997</v>
      </c>
    </row>
    <row r="97" spans="1:9" ht="33.75" customHeight="1">
      <c r="A97" s="84"/>
      <c r="B97" s="80"/>
      <c r="C97" s="80"/>
      <c r="D97" s="80"/>
      <c r="E97" s="82" t="s">
        <v>112</v>
      </c>
      <c r="F97" s="82"/>
      <c r="G97" s="79" t="s">
        <v>47</v>
      </c>
      <c r="H97" s="79"/>
      <c r="I97" s="4">
        <v>42212</v>
      </c>
    </row>
    <row r="98" spans="1:9" ht="33.75" customHeight="1">
      <c r="A98" s="84"/>
      <c r="B98" s="80"/>
      <c r="C98" s="80"/>
      <c r="D98" s="80"/>
      <c r="E98" s="82" t="s">
        <v>113</v>
      </c>
      <c r="F98" s="82"/>
      <c r="G98" s="79" t="s">
        <v>47</v>
      </c>
      <c r="H98" s="79"/>
      <c r="I98" s="4">
        <f>389490/12</f>
        <v>32457.5</v>
      </c>
    </row>
    <row r="99" spans="1:9" ht="53.25" customHeight="1">
      <c r="A99" s="1">
        <v>23</v>
      </c>
      <c r="B99" s="85" t="s">
        <v>114</v>
      </c>
      <c r="C99" s="85"/>
      <c r="D99" s="85"/>
      <c r="E99" s="82" t="s">
        <v>115</v>
      </c>
      <c r="F99" s="82"/>
      <c r="G99" s="81" t="s">
        <v>10</v>
      </c>
      <c r="H99" s="81"/>
      <c r="I99" s="4">
        <f>361152.41/12</f>
        <v>30096.034166666665</v>
      </c>
    </row>
    <row r="100" spans="1:9" ht="35.25" customHeight="1">
      <c r="A100" s="81">
        <v>24</v>
      </c>
      <c r="B100" s="80" t="s">
        <v>116</v>
      </c>
      <c r="C100" s="80"/>
      <c r="D100" s="80"/>
      <c r="E100" s="79" t="s">
        <v>117</v>
      </c>
      <c r="F100" s="79"/>
      <c r="G100" s="81" t="s">
        <v>10</v>
      </c>
      <c r="H100" s="81"/>
      <c r="I100" s="4">
        <f>497134.65/12</f>
        <v>41427.887500000004</v>
      </c>
    </row>
    <row r="101" spans="1:9" ht="28.5" customHeight="1">
      <c r="A101" s="81"/>
      <c r="B101" s="80"/>
      <c r="C101" s="80"/>
      <c r="D101" s="80"/>
      <c r="E101" s="79" t="s">
        <v>118</v>
      </c>
      <c r="F101" s="79"/>
      <c r="G101" s="79" t="s">
        <v>47</v>
      </c>
      <c r="H101" s="79"/>
      <c r="I101" s="4">
        <f>331921.68/12</f>
        <v>27660.14</v>
      </c>
    </row>
    <row r="102" spans="1:9" ht="30.75" customHeight="1">
      <c r="A102" s="81"/>
      <c r="B102" s="80" t="s">
        <v>121</v>
      </c>
      <c r="C102" s="80"/>
      <c r="D102" s="80"/>
      <c r="E102" s="79" t="s">
        <v>122</v>
      </c>
      <c r="F102" s="79"/>
      <c r="G102" s="81" t="s">
        <v>10</v>
      </c>
      <c r="H102" s="81"/>
      <c r="I102" s="5">
        <f>404069/12</f>
        <v>33672.416666666664</v>
      </c>
    </row>
    <row r="103" spans="1:9" ht="30" customHeight="1">
      <c r="A103" s="81"/>
      <c r="B103" s="80"/>
      <c r="C103" s="80"/>
      <c r="D103" s="80"/>
      <c r="E103" s="79" t="s">
        <v>123</v>
      </c>
      <c r="F103" s="79"/>
      <c r="G103" s="79" t="s">
        <v>47</v>
      </c>
      <c r="H103" s="79"/>
      <c r="I103" s="5">
        <f>341296/12</f>
        <v>28441.333333333332</v>
      </c>
    </row>
    <row r="104" spans="1:9" ht="30.75" customHeight="1">
      <c r="A104" s="81"/>
      <c r="B104" s="80"/>
      <c r="C104" s="80"/>
      <c r="D104" s="80"/>
      <c r="E104" s="79" t="s">
        <v>124</v>
      </c>
      <c r="F104" s="79"/>
      <c r="G104" s="79" t="s">
        <v>47</v>
      </c>
      <c r="H104" s="79"/>
      <c r="I104" s="5">
        <f>425678/12</f>
        <v>35473.166666666664</v>
      </c>
    </row>
    <row r="108" spans="1:9">
      <c r="A108" t="s">
        <v>120</v>
      </c>
    </row>
  </sheetData>
  <mergeCells count="240">
    <mergeCell ref="E102:F102"/>
    <mergeCell ref="G102:H102"/>
    <mergeCell ref="E103:F103"/>
    <mergeCell ref="G103:H103"/>
    <mergeCell ref="E104:F104"/>
    <mergeCell ref="B102:D104"/>
    <mergeCell ref="A102:A104"/>
    <mergeCell ref="G104:H104"/>
    <mergeCell ref="A66:A69"/>
    <mergeCell ref="G66:H66"/>
    <mergeCell ref="G67:H67"/>
    <mergeCell ref="G68:H68"/>
    <mergeCell ref="G69:H69"/>
    <mergeCell ref="E66:F66"/>
    <mergeCell ref="B66:D69"/>
    <mergeCell ref="E70:F70"/>
    <mergeCell ref="E71:F71"/>
    <mergeCell ref="E72:F72"/>
    <mergeCell ref="E73:F73"/>
    <mergeCell ref="B70:D73"/>
    <mergeCell ref="A70:A73"/>
    <mergeCell ref="E75:F75"/>
    <mergeCell ref="E76:F76"/>
    <mergeCell ref="E77:F77"/>
    <mergeCell ref="E63:F63"/>
    <mergeCell ref="E64:F64"/>
    <mergeCell ref="E65:F65"/>
    <mergeCell ref="E67:F67"/>
    <mergeCell ref="E68:F68"/>
    <mergeCell ref="E69:F69"/>
    <mergeCell ref="A60:A62"/>
    <mergeCell ref="G60:H60"/>
    <mergeCell ref="G61:H61"/>
    <mergeCell ref="G62:H62"/>
    <mergeCell ref="A63:A65"/>
    <mergeCell ref="B63:D65"/>
    <mergeCell ref="G63:H63"/>
    <mergeCell ref="G64:H64"/>
    <mergeCell ref="G65:H65"/>
    <mergeCell ref="E60:F60"/>
    <mergeCell ref="E61:F61"/>
    <mergeCell ref="E62:F62"/>
    <mergeCell ref="B60:D62"/>
    <mergeCell ref="E56:F56"/>
    <mergeCell ref="G46:H46"/>
    <mergeCell ref="G47:H47"/>
    <mergeCell ref="G58:H58"/>
    <mergeCell ref="G59:H59"/>
    <mergeCell ref="B57:D59"/>
    <mergeCell ref="A57:A59"/>
    <mergeCell ref="E57:F57"/>
    <mergeCell ref="E58:F58"/>
    <mergeCell ref="E59:F59"/>
    <mergeCell ref="G56:H56"/>
    <mergeCell ref="B54:D56"/>
    <mergeCell ref="A54:A56"/>
    <mergeCell ref="G57:H57"/>
    <mergeCell ref="E54:F54"/>
    <mergeCell ref="G54:H54"/>
    <mergeCell ref="E55:F55"/>
    <mergeCell ref="G55:H55"/>
    <mergeCell ref="B48:D53"/>
    <mergeCell ref="A48:A53"/>
    <mergeCell ref="G48:H48"/>
    <mergeCell ref="G49:H49"/>
    <mergeCell ref="G50:H50"/>
    <mergeCell ref="G51:H51"/>
    <mergeCell ref="G52:H52"/>
    <mergeCell ref="G53:H53"/>
    <mergeCell ref="E46:F46"/>
    <mergeCell ref="E47:F47"/>
    <mergeCell ref="E48:F48"/>
    <mergeCell ref="E49:F49"/>
    <mergeCell ref="E50:F50"/>
    <mergeCell ref="E51:F51"/>
    <mergeCell ref="E52:F52"/>
    <mergeCell ref="E53:F53"/>
    <mergeCell ref="G44:H44"/>
    <mergeCell ref="B38:D44"/>
    <mergeCell ref="A38:A44"/>
    <mergeCell ref="E45:F45"/>
    <mergeCell ref="G45:H45"/>
    <mergeCell ref="G39:H39"/>
    <mergeCell ref="G40:H40"/>
    <mergeCell ref="G41:H41"/>
    <mergeCell ref="G42:H42"/>
    <mergeCell ref="G43:H43"/>
    <mergeCell ref="G38:H38"/>
    <mergeCell ref="E38:F38"/>
    <mergeCell ref="E39:F39"/>
    <mergeCell ref="E40:F40"/>
    <mergeCell ref="E41:F41"/>
    <mergeCell ref="E42:F42"/>
    <mergeCell ref="E43:F43"/>
    <mergeCell ref="E44:F44"/>
    <mergeCell ref="B45:D47"/>
    <mergeCell ref="A45:A47"/>
    <mergeCell ref="E34:F34"/>
    <mergeCell ref="E35:F35"/>
    <mergeCell ref="E36:F36"/>
    <mergeCell ref="E37:F37"/>
    <mergeCell ref="A31:A33"/>
    <mergeCell ref="G31:H31"/>
    <mergeCell ref="G32:H32"/>
    <mergeCell ref="G33:H33"/>
    <mergeCell ref="B34:D37"/>
    <mergeCell ref="A34:A37"/>
    <mergeCell ref="G34:H34"/>
    <mergeCell ref="G35:H35"/>
    <mergeCell ref="G36:H36"/>
    <mergeCell ref="G37:H37"/>
    <mergeCell ref="E31:F31"/>
    <mergeCell ref="E32:F32"/>
    <mergeCell ref="E33:F33"/>
    <mergeCell ref="I23:I24"/>
    <mergeCell ref="I25:I27"/>
    <mergeCell ref="I29:I30"/>
    <mergeCell ref="B31:D33"/>
    <mergeCell ref="A23:A30"/>
    <mergeCell ref="G23:H24"/>
    <mergeCell ref="G28:H28"/>
    <mergeCell ref="G29:H30"/>
    <mergeCell ref="G25:H27"/>
    <mergeCell ref="E23:F24"/>
    <mergeCell ref="E25:F27"/>
    <mergeCell ref="E28:F28"/>
    <mergeCell ref="E29:F30"/>
    <mergeCell ref="B23:D30"/>
    <mergeCell ref="I15:I16"/>
    <mergeCell ref="I17:I19"/>
    <mergeCell ref="I20:I21"/>
    <mergeCell ref="A12:A22"/>
    <mergeCell ref="G22:H22"/>
    <mergeCell ref="E13:F14"/>
    <mergeCell ref="E15:F16"/>
    <mergeCell ref="E17:F19"/>
    <mergeCell ref="E20:F21"/>
    <mergeCell ref="E12:F12"/>
    <mergeCell ref="G12:H12"/>
    <mergeCell ref="G13:H14"/>
    <mergeCell ref="G15:H16"/>
    <mergeCell ref="A2:I2"/>
    <mergeCell ref="A3:I3"/>
    <mergeCell ref="A4:I4"/>
    <mergeCell ref="B5:D6"/>
    <mergeCell ref="A5:A6"/>
    <mergeCell ref="E5:F6"/>
    <mergeCell ref="G5:H6"/>
    <mergeCell ref="I5:I6"/>
    <mergeCell ref="G70:H70"/>
    <mergeCell ref="G8:H9"/>
    <mergeCell ref="I8:I9"/>
    <mergeCell ref="G10:H11"/>
    <mergeCell ref="B7:D11"/>
    <mergeCell ref="A7:A11"/>
    <mergeCell ref="I10:I11"/>
    <mergeCell ref="E8:F9"/>
    <mergeCell ref="E10:F11"/>
    <mergeCell ref="E7:F7"/>
    <mergeCell ref="G7:H7"/>
    <mergeCell ref="B12:D22"/>
    <mergeCell ref="E22:F22"/>
    <mergeCell ref="G17:H19"/>
    <mergeCell ref="G20:H21"/>
    <mergeCell ref="I13:I14"/>
    <mergeCell ref="A74:A77"/>
    <mergeCell ref="A78:A79"/>
    <mergeCell ref="G80:H80"/>
    <mergeCell ref="G81:H81"/>
    <mergeCell ref="G82:H82"/>
    <mergeCell ref="G71:H71"/>
    <mergeCell ref="G72:H72"/>
    <mergeCell ref="G73:H73"/>
    <mergeCell ref="E74:F74"/>
    <mergeCell ref="B74:D77"/>
    <mergeCell ref="G74:H74"/>
    <mergeCell ref="G75:H75"/>
    <mergeCell ref="G76:H76"/>
    <mergeCell ref="G77:H77"/>
    <mergeCell ref="E80:F80"/>
    <mergeCell ref="E81:F81"/>
    <mergeCell ref="E82:F82"/>
    <mergeCell ref="A80:A83"/>
    <mergeCell ref="A84:A86"/>
    <mergeCell ref="E78:F78"/>
    <mergeCell ref="E79:F79"/>
    <mergeCell ref="E87:F87"/>
    <mergeCell ref="E88:F88"/>
    <mergeCell ref="E89:F89"/>
    <mergeCell ref="B87:D89"/>
    <mergeCell ref="A87:A89"/>
    <mergeCell ref="G87:H87"/>
    <mergeCell ref="G88:H88"/>
    <mergeCell ref="G89:H89"/>
    <mergeCell ref="G83:H83"/>
    <mergeCell ref="E84:F84"/>
    <mergeCell ref="E85:F85"/>
    <mergeCell ref="E86:F86"/>
    <mergeCell ref="B84:D86"/>
    <mergeCell ref="G84:H84"/>
    <mergeCell ref="G85:H85"/>
    <mergeCell ref="G86:H86"/>
    <mergeCell ref="E83:F83"/>
    <mergeCell ref="B80:D83"/>
    <mergeCell ref="G78:H78"/>
    <mergeCell ref="G79:H79"/>
    <mergeCell ref="B78:D79"/>
    <mergeCell ref="E90:F90"/>
    <mergeCell ref="E91:F91"/>
    <mergeCell ref="E92:F92"/>
    <mergeCell ref="B90:D92"/>
    <mergeCell ref="A90:A92"/>
    <mergeCell ref="G90:H90"/>
    <mergeCell ref="G91:H91"/>
    <mergeCell ref="G92:H92"/>
    <mergeCell ref="G99:H99"/>
    <mergeCell ref="E100:F100"/>
    <mergeCell ref="E101:F101"/>
    <mergeCell ref="B100:D101"/>
    <mergeCell ref="A100:A101"/>
    <mergeCell ref="G100:H100"/>
    <mergeCell ref="G101:H101"/>
    <mergeCell ref="E93:F93"/>
    <mergeCell ref="E94:F94"/>
    <mergeCell ref="E95:F95"/>
    <mergeCell ref="B93:D95"/>
    <mergeCell ref="A93:A95"/>
    <mergeCell ref="G93:H93"/>
    <mergeCell ref="G94:H94"/>
    <mergeCell ref="G95:H95"/>
    <mergeCell ref="E96:F96"/>
    <mergeCell ref="E97:F97"/>
    <mergeCell ref="E98:F98"/>
    <mergeCell ref="B96:D98"/>
    <mergeCell ref="A96:A98"/>
    <mergeCell ref="G96:H96"/>
    <mergeCell ref="G97:H97"/>
    <mergeCell ref="G98:H98"/>
    <mergeCell ref="B99:D99"/>
    <mergeCell ref="E99:F99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 (3)</vt:lpstr>
      <vt:lpstr>Лист1 (2)</vt:lpstr>
      <vt:lpstr>Лист1</vt:lpstr>
      <vt:lpstr>Лист2</vt:lpstr>
      <vt:lpstr>Лист3</vt:lpstr>
    </vt:vector>
  </TitlesOfParts>
  <Company>Omega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Molpolit</dc:creator>
  <cp:lastModifiedBy>specmoluser</cp:lastModifiedBy>
  <cp:lastPrinted>2019-01-30T08:26:23Z</cp:lastPrinted>
  <dcterms:created xsi:type="dcterms:W3CDTF">2017-03-22T08:31:03Z</dcterms:created>
  <dcterms:modified xsi:type="dcterms:W3CDTF">2019-01-30T08:28:03Z</dcterms:modified>
</cp:coreProperties>
</file>